
<file path=[Content_Types].xml><?xml version="1.0" encoding="utf-8"?>
<Types xmlns="http://schemas.openxmlformats.org/package/2006/content-types"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_rels/sheet1.xml.rels" ContentType="application/vnd.openxmlformats-package.relationships+xml"/>
  <Override PartName="/xl/worksheets/_rels/sheet12.xml.rels" ContentType="application/vnd.openxmlformats-package.relationships+xml"/>
  <Override PartName="/xl/worksheets/_rels/sheet13.xml.rels" ContentType="application/vnd.openxmlformats-package.relationship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_rels/drawing1.xml.rels" ContentType="application/vnd.openxmlformats-package.relationships+xml"/>
  <Override PartName="/xl/drawings/_rels/drawing2.xml.rels" ContentType="application/vnd.openxmlformats-package.relationships+xml"/>
  <Override PartName="/xl/drawings/_rels/drawing3.xml.rels" ContentType="application/vnd.openxmlformats-package.relationships+xml"/>
  <Override PartName="/xl/sharedStrings.xml" ContentType="application/vnd.openxmlformats-officedocument.spreadsheetml.sharedStrings+xml"/>
  <Override PartName="/xl/media/image1.png" ContentType="image/png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1.xml" ContentType="application/xml"/>
  <Override PartName="/customXml/itemProps3.xml" ContentType="application/vnd.openxmlformats-officedocument.customXmlProperties+xml"/>
  <Override PartName="/customXml/itemProps1.xml" ContentType="application/vnd.openxmlformats-officedocument.customXmlProperties+xml"/>
  <Override PartName="/customXml/item2.xml" ContentType="application/xml"/>
  <Override PartName="/customXml/itemProps4.xml" ContentType="application/vnd.openxmlformats-officedocument.customXmlProperties+xml"/>
  <Override PartName="/customXml/itemProps2.xml" ContentType="application/vnd.openxmlformats-officedocument.customXmlProperties+xml"/>
  <Override PartName="/customXml/item3.xml" ContentType="application/xml"/>
  <Override PartName="/customXml/item4.xml" ContentType="application/xml"/>
  <Override PartName="/customXml/item5.xml" ContentType="application/xml"/>
  <Override PartName="/customXml/itemProps5.xml" ContentType="application/vnd.openxmlformats-officedocument.customXmlProperties+xml"/>
  <Override PartName="/customXml/item6.xml" ContentType="application/xml"/>
  <Override PartName="/customXml/itemProps6.xml" ContentType="application/vnd.openxmlformats-officedocument.customXmlProperties+xml"/>
  <Override PartName="/customXml/_rels/item1.xml.rels" ContentType="application/vnd.openxmlformats-package.relationships+xml"/>
  <Override PartName="/customXml/_rels/item2.xml.rels" ContentType="application/vnd.openxmlformats-package.relationships+xml"/>
  <Override PartName="/customXml/_rels/item3.xml.rels" ContentType="application/vnd.openxmlformats-package.relationships+xml"/>
  <Override PartName="/customXml/_rels/item4.xml.rels" ContentType="application/vnd.openxmlformats-package.relationships+xml"/>
  <Override PartName="/customXml/_rels/item5.xml.rels" ContentType="application/vnd.openxmlformats-package.relationships+xml"/>
  <Override PartName="/customXml/_rels/item6.xml.rels" ContentType="application/vnd.openxmlformats-package.relationships+xml"/>
  <Override PartName="/_rels/.rels" ContentType="application/vnd.openxmlformats-package.relationships+xml"/>
  <Override PartName="/xl/media/image4.png" ContentType="image/png"/>
  <Override PartName="/xl/media/image3.png" ContentType="image/png"/>
  <Override PartName="/xl/media/image2.png" ContentType="image/png"/>
  <Override PartName="/xl/worksheets/sheet18.xml" ContentType="application/vnd.openxmlformats-officedocument.spreadsheetml.worksheet+xml"/>
  <Override PartName="/xl/worksheets/sheet4.xml" ContentType="application/vnd.openxmlformats-officedocument.spreadsheetml.worksheet+xml"/>
  <Override PartName="/xl/styles.xml" ContentType="application/vnd.openxmlformats-officedocument.spreadsheetml.styles+xml"/>
  <Override PartName="/customXml/itemProps7.xml" ContentType="application/vnd.openxmlformats-officedocument.customXmlProperties+xml"/>
  <Override PartName="/customXml/itemProps8.xml" ContentType="application/vnd.openxmlformats-officedocument.customXmlProperties+xml"/>
  <Override PartName="/xl/_rels/workbook.xml.rels" ContentType="application/vnd.openxmlformats-package.relationships+xml"/>
  <Override PartName="/customXml/itemProps9.xml" ContentType="application/vnd.openxmlformats-officedocument.customXml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Relationship Id="rId5" Type="http://schemas.openxmlformats.org/officeDocument/2006/relationships/customXml" Target="../customXml/item1.xml"/><Relationship Id="rId6" Type="http://schemas.openxmlformats.org/officeDocument/2006/relationships/customXml" Target="../customXml/item2.xml"/><Relationship Id="rId7" Type="http://schemas.openxmlformats.org/officeDocument/2006/relationships/customXml" Target="../customXml/item3.xml"/><Relationship Id="rId8" Type="http://schemas.openxmlformats.org/officeDocument/2006/relationships/customXml" Target="../customXml/item4.xml"/><Relationship Id="rId9" Type="http://schemas.openxmlformats.org/officeDocument/2006/relationships/customXml" Target="../customXml/item5.xml"/><Relationship Id="rId10" Type="http://schemas.openxmlformats.org/officeDocument/2006/relationships/customXml" Target="../customXml/item6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Valor da Contratação" sheetId="1" state="visible" r:id="rId3"/>
    <sheet name="Resumo" sheetId="2" state="visible" r:id="rId4"/>
    <sheet name="Equipe Técnica" sheetId="3" state="visible" r:id="rId5"/>
    <sheet name="Base Chapecó" sheetId="4" state="visible" r:id="rId6"/>
    <sheet name="Desl. Base Chapecó" sheetId="5" state="visible" r:id="rId7"/>
    <sheet name="Base Pato Branco" sheetId="6" state="visible" r:id="rId8"/>
    <sheet name="Desl. Base Pato Branco" sheetId="7" state="visible" r:id="rId9"/>
    <sheet name="Comp. Veículo SC" sheetId="8" state="visible" r:id="rId10"/>
    <sheet name="Comp. Veículo PR" sheetId="9" state="visible" r:id="rId11"/>
    <sheet name="Custo Eng. Eletricista" sheetId="10" state="visible" r:id="rId12"/>
    <sheet name="Comp. Eng. Eletricista" sheetId="11" state="visible" r:id="rId13"/>
    <sheet name="Custo Oficial de Manutenção SC" sheetId="12" state="visible" r:id="rId14"/>
    <sheet name="Custo Oficial de Manutenção PR" sheetId="13" state="visible" r:id="rId15"/>
    <sheet name="Comp. Oficial de Manutenção SC" sheetId="14" state="visible" r:id="rId16"/>
    <sheet name="Comp. Oficial de Manutenção PR" sheetId="15" state="visible" r:id="rId17"/>
    <sheet name="Unidades" sheetId="16" state="visible" r:id="rId18"/>
    <sheet name="BDI" sheetId="17" state="visible" r:id="rId19"/>
    <sheet name="Divisão Custos ISSQN" sheetId="18" state="visible" r:id="rId20"/>
  </sheets>
  <definedNames>
    <definedName function="false" hidden="false" localSheetId="3" name="_xlnm.Print_Area" vbProcedure="false">'Base Chapecó'!$B$2:$AW$25</definedName>
    <definedName function="false" hidden="false" localSheetId="5" name="_xlnm.Print_Area" vbProcedure="false">'Base Pato Branco'!$B$2:$AW$24</definedName>
    <definedName function="false" hidden="false" localSheetId="16" name="_xlnm.Print_Area" vbProcedure="false">BDI!$B$1:$J$44</definedName>
    <definedName function="false" hidden="false" localSheetId="4" name="_xlnm.Print_Area" vbProcedure="false">'Desl. Base Chapecó'!$B$2:$M$34</definedName>
    <definedName function="false" hidden="false" localSheetId="6" name="_xlnm.Print_Area" vbProcedure="false">'Desl. Base Pato Branco'!$B$2:$M$58</definedName>
    <definedName function="false" hidden="false" localSheetId="2" name="_xlnm.Print_Area" vbProcedure="false">'Equipe Técnica'!$B$2:$E$13</definedName>
    <definedName function="false" hidden="false" localSheetId="15" name="_xlnm.Print_Area" vbProcedure="false">Unidades!$B$2:$H$17</definedName>
    <definedName function="false" hidden="false" name="Excel_BuiltIn__FilterDatabase_9_1" vbProcedure="false">#REF!</definedName>
    <definedName function="false" hidden="false" name="_FilterDatabase_3" vbProcedure="false">#REF!</definedName>
    <definedName function="false" hidden="false" name="___xlnm__FilterDatabase_6" vbProcedure="false">#REF!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<sst xmlns="http://schemas.openxmlformats.org/spreadsheetml/2006/main" count="986" uniqueCount="333">
  <si>
    <t xml:space="preserve">ANEXO I – B17</t>
  </si>
  <si>
    <t xml:space="preserve">PLANILHA DETALHADA DE FORMAÇÃO DE PREÇO</t>
  </si>
  <si>
    <t xml:space="preserve">POLO VI</t>
  </si>
  <si>
    <t xml:space="preserve">NÃO DESONERADA</t>
  </si>
  <si>
    <t xml:space="preserve">ITEM</t>
  </si>
  <si>
    <t xml:space="preserve">DESCRIÇÃO DO SERVIÇO</t>
  </si>
  <si>
    <t xml:space="preserve">UN.</t>
  </si>
  <si>
    <t xml:space="preserve">QTE.</t>
  </si>
  <si>
    <t xml:space="preserve">PREÇO UNITÁRIO (R$)</t>
  </si>
  <si>
    <t xml:space="preserve">PREÇO ANUAL (R$)</t>
  </si>
  <si>
    <t xml:space="preserve">Serviço de manutenção predial preventiva e corretiva por demanda, com fornecimento de materiais, peças e componentes, nos imóveis relacionados no Polo Regional VI.</t>
  </si>
  <si>
    <t xml:space="preserve">Mês</t>
  </si>
  <si>
    <t xml:space="preserve">VALOR TOTAL DO ITEM 6: R$ 1.630.740,36 (Um milhão, seiscentos e trinta mil, setecentos e quarenta reais e trinta e seis centavos)</t>
  </si>
  <si>
    <t xml:space="preserve">BASE</t>
  </si>
  <si>
    <t xml:space="preserve">ÁREA TOTAL (m²)</t>
  </si>
  <si>
    <t xml:space="preserve">CUSTO MÉDIO MENSAL (PREVENTIVA)</t>
  </si>
  <si>
    <t xml:space="preserve">CUSTO ANUAL (PREVENTIVA)</t>
  </si>
  <si>
    <t xml:space="preserve">CUSTO MÉDIO MENSAL (CORRETIVA)</t>
  </si>
  <si>
    <t xml:space="preserve">CUSTO ANUAL (CORRETIVA)</t>
  </si>
  <si>
    <t xml:space="preserve">CUSTO MÉDIO MENSAL MANUTENÇÃO</t>
  </si>
  <si>
    <t xml:space="preserve">CUSTO ANUAL MANUTENÇÃO</t>
  </si>
  <si>
    <t xml:space="preserve">CHAPECÓ</t>
  </si>
  <si>
    <t xml:space="preserve">PATO BRANCO</t>
  </si>
  <si>
    <t xml:space="preserve">Custo Médio Mensal</t>
  </si>
  <si>
    <t xml:space="preserve">Custo Anual</t>
  </si>
  <si>
    <t xml:space="preserve">Percentual por unidade</t>
  </si>
  <si>
    <t xml:space="preserve">Preventiva</t>
  </si>
  <si>
    <t xml:space="preserve">Corretiva</t>
  </si>
  <si>
    <t xml:space="preserve">Total</t>
  </si>
  <si>
    <t xml:space="preserve">%</t>
  </si>
  <si>
    <t xml:space="preserve">Valores SINAPI*</t>
  </si>
  <si>
    <t xml:space="preserve">Engenheiro Civil (ref. SINAPI/90778)</t>
  </si>
  <si>
    <t xml:space="preserve">Engenheiro eletricista 
(comp. própria)</t>
  </si>
  <si>
    <t xml:space="preserve">Auxiliar Técnico (ref. SINAPI/88255)</t>
  </si>
  <si>
    <t xml:space="preserve">Quantidade de horas/mês</t>
  </si>
  <si>
    <t xml:space="preserve">Custo mensal</t>
  </si>
  <si>
    <t xml:space="preserve">Custo anual</t>
  </si>
  <si>
    <t xml:space="preserve">* Tabela SINAPI/SC Outubro/2023 (Não Desonerado)</t>
  </si>
  <si>
    <t xml:space="preserve">CUSTO POR PERÍODO (Sem BDI)</t>
  </si>
  <si>
    <t xml:space="preserve">Custo mensal da equipe</t>
  </si>
  <si>
    <t xml:space="preserve">Custo anual da equipe</t>
  </si>
  <si>
    <t xml:space="preserve">UNIDADE</t>
  </si>
  <si>
    <t xml:space="preserve">Área (m²)</t>
  </si>
  <si>
    <t xml:space="preserve">Horas</t>
  </si>
  <si>
    <t xml:space="preserve">GEX / APS</t>
  </si>
  <si>
    <t xml:space="preserve">Custo da equipe em execução por rotina</t>
  </si>
  <si>
    <t xml:space="preserve">Custos mensais</t>
  </si>
  <si>
    <t xml:space="preserve">Custo Equipe técnica</t>
  </si>
  <si>
    <t xml:space="preserve">Custo total por rotina (SEM BDI)</t>
  </si>
  <si>
    <t xml:space="preserve">Custo total por rotina (COM BDI)</t>
  </si>
  <si>
    <t xml:space="preserve">Custo Mensal de Manutenção por unidade</t>
  </si>
  <si>
    <t xml:space="preserve">Uso constante</t>
  </si>
  <si>
    <t xml:space="preserve">Uso esporádico</t>
  </si>
  <si>
    <t xml:space="preserve">Ociosa</t>
  </si>
  <si>
    <t xml:space="preserve">Área corrigida</t>
  </si>
  <si>
    <t xml:space="preserve">horas p visita mensal (h)</t>
  </si>
  <si>
    <t xml:space="preserve">horas p visita trimestral (h)</t>
  </si>
  <si>
    <t xml:space="preserve">Possui hidrante?</t>
  </si>
  <si>
    <t xml:space="preserve">Possui subestação?</t>
  </si>
  <si>
    <t xml:space="preserve">horas p visita semestral(h)</t>
  </si>
  <si>
    <t xml:space="preserve">horas p visita anual(h)</t>
  </si>
  <si>
    <t xml:space="preserve">Total horas p/ ano</t>
  </si>
  <si>
    <t xml:space="preserve">Mensal</t>
  </si>
  <si>
    <t xml:space="preserve">Trimestral</t>
  </si>
  <si>
    <t xml:space="preserve">Semestral</t>
  </si>
  <si>
    <t xml:space="preserve">Anual</t>
  </si>
  <si>
    <t xml:space="preserve">Equipe em desl.</t>
  </si>
  <si>
    <t xml:space="preserve">Pernoite</t>
  </si>
  <si>
    <t xml:space="preserve">Pedágio</t>
  </si>
  <si>
    <t xml:space="preserve">Veículo</t>
  </si>
  <si>
    <t xml:space="preserve">Total de horas de execução do Polo:</t>
  </si>
  <si>
    <t xml:space="preserve">BDI</t>
  </si>
  <si>
    <t xml:space="preserve">Custo Médio Mensal Preventiva</t>
  </si>
  <si>
    <t xml:space="preserve">Custo Médio Mensal Corretiva</t>
  </si>
  <si>
    <t xml:space="preserve">Custo Médio Mensal Manunteção</t>
  </si>
  <si>
    <t xml:space="preserve">Custos / Rotinas</t>
  </si>
  <si>
    <t xml:space="preserve">coeficiente</t>
  </si>
  <si>
    <t xml:space="preserve">12 rotinas</t>
  </si>
  <si>
    <t xml:space="preserve">4 rotinas</t>
  </si>
  <si>
    <t xml:space="preserve">2 rotinas</t>
  </si>
  <si>
    <t xml:space="preserve">1 rotina</t>
  </si>
  <si>
    <t xml:space="preserve">APS CAÇADOR</t>
  </si>
  <si>
    <t xml:space="preserve">Custo por tipo de rotina</t>
  </si>
  <si>
    <t xml:space="preserve">APS CAMPOS NOVOS</t>
  </si>
  <si>
    <t xml:space="preserve">Custo Anual por tipo de rotina</t>
  </si>
  <si>
    <t xml:space="preserve">APS CAPINZAL</t>
  </si>
  <si>
    <t xml:space="preserve">APS CHAPECÓ</t>
  </si>
  <si>
    <t xml:space="preserve">APS CONCÓRDIA</t>
  </si>
  <si>
    <t xml:space="preserve">Custo Anual Preventiva</t>
  </si>
  <si>
    <t xml:space="preserve">APS FRAIBURGO</t>
  </si>
  <si>
    <t xml:space="preserve">APS JOAÇABA</t>
  </si>
  <si>
    <t xml:space="preserve">Custo Anual Corretiva</t>
  </si>
  <si>
    <t xml:space="preserve">APS MARAVILHA</t>
  </si>
  <si>
    <t xml:space="preserve">Custo Médio Mensal Manutenção</t>
  </si>
  <si>
    <t xml:space="preserve">APS PINHALZINHO</t>
  </si>
  <si>
    <t xml:space="preserve">Custo Anual Manutenção</t>
  </si>
  <si>
    <t xml:space="preserve">APS SÃO MIGUEL D OESTE</t>
  </si>
  <si>
    <t xml:space="preserve">APS VIDEIRA</t>
  </si>
  <si>
    <t xml:space="preserve">APS XANXERÊ</t>
  </si>
  <si>
    <t xml:space="preserve">APS XAXIM</t>
  </si>
  <si>
    <t xml:space="preserve">GEX CHAPECÓ</t>
  </si>
  <si>
    <t xml:space="preserve">TOTAL</t>
  </si>
  <si>
    <t xml:space="preserve">Oficial de Manutenção Predial</t>
  </si>
  <si>
    <t xml:space="preserve">Ajudante (ref. SINAPI/88241)</t>
  </si>
  <si>
    <t xml:space="preserve">Eletrotécnico (ref. SINAPI/88266)</t>
  </si>
  <si>
    <t xml:space="preserve">Rotas</t>
  </si>
  <si>
    <t xml:space="preserve">Trecho 1 (Km)</t>
  </si>
  <si>
    <t xml:space="preserve">Trecho 2 (Km)</t>
  </si>
  <si>
    <t xml:space="preserve">Trecho 3 (Km)</t>
  </si>
  <si>
    <t xml:space="preserve">Total (Km)</t>
  </si>
  <si>
    <t xml:space="preserve">Trecho 1 (min)</t>
  </si>
  <si>
    <t xml:space="preserve">Trecho 2 (min)</t>
  </si>
  <si>
    <t xml:space="preserve">Trecho 3 (min)</t>
  </si>
  <si>
    <t xml:space="preserve">Total (min)</t>
  </si>
  <si>
    <t xml:space="preserve">Total (horas)</t>
  </si>
  <si>
    <t xml:space="preserve">Pedágio (ida e volta) *</t>
  </si>
  <si>
    <t xml:space="preserve">Unidades na rota</t>
  </si>
  <si>
    <t xml:space="preserve">Média horas p/ unidade</t>
  </si>
  <si>
    <t xml:space="preserve">Média pedágio p/ unidade</t>
  </si>
  <si>
    <t xml:space="preserve">Subestação?</t>
  </si>
  <si>
    <t xml:space="preserve">Inclui eletrotécnico no deslocamento?</t>
  </si>
  <si>
    <t xml:space="preserve">Custo do Veículo</t>
  </si>
  <si>
    <t xml:space="preserve">Composição*</t>
  </si>
  <si>
    <t xml:space="preserve">Descrição</t>
  </si>
  <si>
    <t xml:space="preserve">Unidade</t>
  </si>
  <si>
    <t xml:space="preserve">Valor</t>
  </si>
  <si>
    <t xml:space="preserve">92145/SINAPI</t>
  </si>
  <si>
    <t xml:space="preserve">CAMINHONETE CABINE SIMPLES</t>
  </si>
  <si>
    <t xml:space="preserve">CHP</t>
  </si>
  <si>
    <t xml:space="preserve">92146/SINAPI</t>
  </si>
  <si>
    <t xml:space="preserve">CHI</t>
  </si>
  <si>
    <t xml:space="preserve">* Nas composições utilizadas foram retirados os custos com motorista, pelo fato da própria equipe conduzir o veículo. A composição detalhada encontra-se em planilha apartada.</t>
  </si>
  <si>
    <t xml:space="preserve">Custo Mensal do Veículo</t>
  </si>
  <si>
    <t xml:space="preserve">Pedágios</t>
  </si>
  <si>
    <t xml:space="preserve">Insumo*</t>
  </si>
  <si>
    <t xml:space="preserve">2454/AGETOP</t>
  </si>
  <si>
    <t xml:space="preserve">PERNOITE EM QUARTO SOLTEIRO C/ AR CONDICIONADO OU VENTILADOR</t>
  </si>
  <si>
    <t xml:space="preserve">UN</t>
  </si>
  <si>
    <t xml:space="preserve">* Tabela AGETOP CIVIL Agosto/2023.</t>
  </si>
  <si>
    <t xml:space="preserve">APS CORONEL VIVIDA</t>
  </si>
  <si>
    <t xml:space="preserve">APS DOIS VIZINHOS</t>
  </si>
  <si>
    <t xml:space="preserve">APS FRANCISCO BELTRÃO</t>
  </si>
  <si>
    <t xml:space="preserve">APS MANGUEIRINHA</t>
  </si>
  <si>
    <t xml:space="preserve">APS PALMAS</t>
  </si>
  <si>
    <t xml:space="preserve">APS PATO BRANCO</t>
  </si>
  <si>
    <t xml:space="preserve">APS REALEZA</t>
  </si>
  <si>
    <t xml:space="preserve">APS STO. ANTÔNIO DO SUDOESTE</t>
  </si>
  <si>
    <t xml:space="preserve">APS DIONÍSIO CERQUEIRA</t>
  </si>
  <si>
    <t xml:space="preserve">APS SÃO L. DO OESTE</t>
  </si>
  <si>
    <t xml:space="preserve">* Tabela SINAPI/PR Setembro/2023 (Não Desonerado)</t>
  </si>
  <si>
    <t xml:space="preserve">Pedágio (ida e volta)</t>
  </si>
  <si>
    <t xml:space="preserve">COMPOSIÇÃO CUSTO DO VEÍCULO - SANTA CATARINA</t>
  </si>
  <si>
    <t xml:space="preserve">Composição ALTERADA SINAPI – 92145 (SEM MOTORISTA)</t>
  </si>
  <si>
    <t xml:space="preserve">Código</t>
  </si>
  <si>
    <t xml:space="preserve">92145</t>
  </si>
  <si>
    <t xml:space="preserve">CAMINHONETE CABINE SIMPLES COM MOTOR 1.6 FLEX, CÂMBIO MANUAL, POTÊNCIA 101/104 CV, 2 PORTAS - CHP DIURNO. AF_11/2015</t>
  </si>
  <si>
    <t xml:space="preserve">Data</t>
  </si>
  <si>
    <t xml:space="preserve">10/2023</t>
  </si>
  <si>
    <t xml:space="preserve">Estado</t>
  </si>
  <si>
    <t xml:space="preserve">Santa Catarina</t>
  </si>
  <si>
    <t xml:space="preserve">Tipo</t>
  </si>
  <si>
    <t xml:space="preserve">CHOR - CUSTOS HORÁRIOS DE MÁQUINAS E EQUIPAMENTOS</t>
  </si>
  <si>
    <t xml:space="preserve">Valor Não Desonerado</t>
  </si>
  <si>
    <t xml:space="preserve">codigo</t>
  </si>
  <si>
    <t xml:space="preserve">Coeficiente</t>
  </si>
  <si>
    <t xml:space="preserve">C</t>
  </si>
  <si>
    <t xml:space="preserve">92140</t>
  </si>
  <si>
    <t xml:space="preserve">CAMINHONETE CABINE SIMPLES COM MOTOR 1.6 FLEX, CÂMBIO MANUAL, POTÊNCIA 101/104 CV, 2 PORTAS - DEPRECIAÇÃO. AF_11/2015</t>
  </si>
  <si>
    <t xml:space="preserve">H</t>
  </si>
  <si>
    <t xml:space="preserve">1,0</t>
  </si>
  <si>
    <t xml:space="preserve">92141</t>
  </si>
  <si>
    <t xml:space="preserve">CAMINHONETE CABINE SIMPLES COM MOTOR 1.6 FLEX, CÂMBIO MANUAL, POTÊNCIA 101/104 CV, 2 PORTAS - JUROS. AF_11/2015</t>
  </si>
  <si>
    <t xml:space="preserve">92142</t>
  </si>
  <si>
    <t xml:space="preserve">CAMINHONETE CABINE SIMPLES COM MOTOR 1.6 FLEX, CÂMBIO MANUAL, POTÊNCIA 101/104 CV, 2 PORTAS - IMPOSTOS E SEGUROS. AF_11/2015</t>
  </si>
  <si>
    <t xml:space="preserve">92143</t>
  </si>
  <si>
    <t xml:space="preserve">CAMINHONETE CABINE SIMPLES COM MOTOR 1.6 FLEX, CÂMBIO MANUAL, POTÊNCIA 101/104 CV, 2 PORTAS - MANUTENÇÃO. AF_11/2015</t>
  </si>
  <si>
    <t xml:space="preserve">92144</t>
  </si>
  <si>
    <t xml:space="preserve">CAMINHONETE CABINE SIMPLES COM MOTOR 1.6 FLEX, CÂMBIO MANUAL, POTÊNCIA 101/104 CV, 2 PORTAS - MATERIAIS NA OPERAÇÃO. AF_11/2015</t>
  </si>
  <si>
    <t xml:space="preserve">Composição ALTERADA SINAPI – 92146 (SEM MOTORISTA)</t>
  </si>
  <si>
    <t xml:space="preserve">92146</t>
  </si>
  <si>
    <t xml:space="preserve">CAMINHONETE CABINE SIMPLES COM MOTOR 1.6 FLEX, CÂMBIO MANUAL, POTÊNCIA 101/104 CV, 2 PORTAS - CHI DIURNO. AF_11/2015</t>
  </si>
  <si>
    <t xml:space="preserve">COMPOSIÇÃO CUSTO DO VEÍCULO - PARANÁ</t>
  </si>
  <si>
    <t xml:space="preserve">Paraná</t>
  </si>
  <si>
    <t xml:space="preserve">SANTA CATARINA</t>
  </si>
  <si>
    <t xml:space="preserve">Profissional</t>
  </si>
  <si>
    <t xml:space="preserve">ENGENHEIRO ELETRICISTA</t>
  </si>
  <si>
    <t xml:space="preserve">Referência</t>
  </si>
  <si>
    <t xml:space="preserve">99275 / insumo SBC</t>
  </si>
  <si>
    <t xml:space="preserve">Data base</t>
  </si>
  <si>
    <t xml:space="preserve">Custo do insumo (h)</t>
  </si>
  <si>
    <t xml:space="preserve">Encargos Sociais (*) - (ES)</t>
  </si>
  <si>
    <t xml:space="preserve">Apêndice 24: Encargos Sociais – Santa Catarina</t>
  </si>
  <si>
    <t xml:space="preserve">Horista Desonerado</t>
  </si>
  <si>
    <t xml:space="preserve">Horista Não Desonerado</t>
  </si>
  <si>
    <t xml:space="preserve">Cálculo custo do funcionário</t>
  </si>
  <si>
    <r>
      <rPr>
        <sz val="10"/>
        <rFont val="Arial"/>
        <family val="2"/>
        <charset val="1"/>
      </rPr>
      <t xml:space="preserve">Horista Desonerado - H</t>
    </r>
    <r>
      <rPr>
        <vertAlign val="subscript"/>
        <sz val="10"/>
        <rFont val="Arial"/>
        <family val="2"/>
        <charset val="1"/>
      </rPr>
      <t xml:space="preserve">desonerado</t>
    </r>
  </si>
  <si>
    <r>
      <rPr>
        <sz val="10"/>
        <rFont val="Arial"/>
        <family val="2"/>
        <charset val="1"/>
      </rPr>
      <t xml:space="preserve">Horista Não Desonerado - H</t>
    </r>
    <r>
      <rPr>
        <vertAlign val="subscript"/>
        <sz val="10"/>
        <rFont val="Arial"/>
        <family val="2"/>
        <charset val="1"/>
      </rPr>
      <t xml:space="preserve">não_desonerado</t>
    </r>
  </si>
  <si>
    <t xml:space="preserve">(*) Fonte: Livro SINAPI: Referências para Custos Horários e Encargos: Sistema Nacional de Pesquisa de Custos e Índices da Construção Civil / Caixa Econômica Federal. – 5ª Ed. – Brasília: CAIXA, 2022.</t>
  </si>
  <si>
    <t xml:space="preserve">COMPOSIÇÃO CUSTO ENGENHEIRO ELETRICISTA</t>
  </si>
  <si>
    <t xml:space="preserve">Composição ALTERADA SINAPI – 91677</t>
  </si>
  <si>
    <t xml:space="preserve">ENGENHEIRO ELETRICISTA COM ENCARGOS COMPLEMENTARES</t>
  </si>
  <si>
    <t xml:space="preserve">SEDI - SERVIÇOS DIVERSOS</t>
  </si>
  <si>
    <t xml:space="preserve">Valor Unitário Não Desonerado</t>
  </si>
  <si>
    <t xml:space="preserve">I</t>
  </si>
  <si>
    <t xml:space="preserve">23688/SBC</t>
  </si>
  <si>
    <t xml:space="preserve">CURSO DE CAPACITACAO PARA ENGENHEIRO ELETRICISTA</t>
  </si>
  <si>
    <t xml:space="preserve">-</t>
  </si>
  <si>
    <t xml:space="preserve">99275/SBC</t>
  </si>
  <si>
    <t xml:space="preserve">Mão de Obra</t>
  </si>
  <si>
    <t xml:space="preserve"> 00037372 </t>
  </si>
  <si>
    <t xml:space="preserve">EXAMES - HORISTA (COLETADO CAIXA - ENCARGOS COMPLEMENTARES)</t>
  </si>
  <si>
    <t xml:space="preserve">Outros</t>
  </si>
  <si>
    <t xml:space="preserve">1,14</t>
  </si>
  <si>
    <t xml:space="preserve"> 00037373 </t>
  </si>
  <si>
    <t xml:space="preserve">SEGURO - HORISTA (COLETADO CAIXA - ENCARGOS COMPLEMENTARES)</t>
  </si>
  <si>
    <t xml:space="preserve">Taxas</t>
  </si>
  <si>
    <t xml:space="preserve">0,07</t>
  </si>
  <si>
    <t xml:space="preserve"> 00043462 </t>
  </si>
  <si>
    <t xml:space="preserve">FERRAMENTAS - FAMILIA ENGENHEIRO CIVIL - HORISTA (ENCARGOS COMPLEMENTARES - COLETADO CAIXA)</t>
  </si>
  <si>
    <t xml:space="preserve">Equipamento</t>
  </si>
  <si>
    <t xml:space="preserve">0,01</t>
  </si>
  <si>
    <t xml:space="preserve"> 00043486 </t>
  </si>
  <si>
    <t xml:space="preserve">EPI - FAMILIA ENGENHEIRO CIVIL - HORISTA (ENCARGOS COMPLEMENTARES - COLETADO CAIXA)</t>
  </si>
  <si>
    <t xml:space="preserve">0,71</t>
  </si>
  <si>
    <t xml:space="preserve">Categoria</t>
  </si>
  <si>
    <t xml:space="preserve">Profissional (*)</t>
  </si>
  <si>
    <t xml:space="preserve">Convenção coletiva</t>
  </si>
  <si>
    <r>
      <rPr>
        <sz val="10"/>
        <rFont val="Arial"/>
        <family val="2"/>
        <charset val="1"/>
      </rPr>
      <t xml:space="preserve">CCT </t>
    </r>
    <r>
      <rPr>
        <sz val="10"/>
        <color rgb="FF000000"/>
        <rFont val="Arial;Arial"/>
        <family val="2"/>
        <charset val="1"/>
      </rPr>
      <t xml:space="preserve">SC001231/2023</t>
    </r>
  </si>
  <si>
    <t xml:space="preserve">Abrangência</t>
  </si>
  <si>
    <t xml:space="preserve">Trabalhadores das indústrias da construção civil de Florianópolis/SC e região</t>
  </si>
  <si>
    <t xml:space="preserve">Salário base (SB)</t>
  </si>
  <si>
    <t xml:space="preserve">Encargos Sociais (**) - (ES)
Apêndice 24: Encargos Sociais – Santa Catarina</t>
  </si>
  <si>
    <t xml:space="preserve">Mensalista Não Desonerado</t>
  </si>
  <si>
    <t xml:space="preserve">Cálculo custo do funcionário (***)</t>
  </si>
  <si>
    <r>
      <rPr>
        <sz val="11"/>
        <color rgb="FF000000"/>
        <rFont val="Arial"/>
        <family val="2"/>
        <charset val="1"/>
      </rPr>
      <t xml:space="preserve">Mensalista Desonerado (M</t>
    </r>
    <r>
      <rPr>
        <vertAlign val="subscript"/>
        <sz val="10"/>
        <rFont val="Arial"/>
        <family val="2"/>
        <charset val="1"/>
      </rPr>
      <t xml:space="preserve">desonerado</t>
    </r>
    <r>
      <rPr>
        <sz val="11"/>
        <color rgb="FF000000"/>
        <rFont val="Arial"/>
        <family val="2"/>
        <charset val="1"/>
      </rPr>
      <t xml:space="preserve">=SB*(1+ES</t>
    </r>
    <r>
      <rPr>
        <vertAlign val="subscript"/>
        <sz val="10"/>
        <rFont val="Arial"/>
        <family val="2"/>
        <charset val="1"/>
      </rPr>
      <t xml:space="preserve">desonerado</t>
    </r>
    <r>
      <rPr>
        <sz val="11"/>
        <color rgb="FF000000"/>
        <rFont val="Arial"/>
        <family val="2"/>
        <charset val="1"/>
      </rPr>
      <t xml:space="preserve">))</t>
    </r>
  </si>
  <si>
    <r>
      <rPr>
        <sz val="11"/>
        <color rgb="FF000000"/>
        <rFont val="Arial"/>
        <family val="2"/>
        <charset val="1"/>
      </rPr>
      <t xml:space="preserve">Mensalista Não desonerado (M</t>
    </r>
    <r>
      <rPr>
        <vertAlign val="subscript"/>
        <sz val="10"/>
        <rFont val="Arial"/>
        <family val="2"/>
        <charset val="1"/>
      </rPr>
      <t xml:space="preserve">não_desonerado</t>
    </r>
    <r>
      <rPr>
        <sz val="11"/>
        <color rgb="FF000000"/>
        <rFont val="Arial"/>
        <family val="2"/>
        <charset val="1"/>
      </rPr>
      <t xml:space="preserve">=SB*(1+ES</t>
    </r>
    <r>
      <rPr>
        <vertAlign val="subscript"/>
        <sz val="10"/>
        <rFont val="Arial"/>
        <family val="2"/>
        <charset val="1"/>
      </rPr>
      <t xml:space="preserve">não_desonerado</t>
    </r>
    <r>
      <rPr>
        <sz val="11"/>
        <color rgb="FF000000"/>
        <rFont val="Arial"/>
        <family val="2"/>
        <charset val="1"/>
      </rPr>
      <t xml:space="preserve">))</t>
    </r>
  </si>
  <si>
    <r>
      <rPr>
        <sz val="11"/>
        <color rgb="FF000000"/>
        <rFont val="Arial"/>
        <family val="2"/>
        <charset val="1"/>
      </rPr>
      <t xml:space="preserve">Horista Desonerado (****) - H</t>
    </r>
    <r>
      <rPr>
        <vertAlign val="subscript"/>
        <sz val="10"/>
        <rFont val="Arial"/>
        <family val="2"/>
        <charset val="1"/>
      </rPr>
      <t xml:space="preserve">desonerado</t>
    </r>
  </si>
  <si>
    <r>
      <rPr>
        <sz val="11"/>
        <color rgb="FF000000"/>
        <rFont val="Arial"/>
        <family val="2"/>
        <charset val="1"/>
      </rPr>
      <t xml:space="preserve">Horista Não Desonerado (****) - H</t>
    </r>
    <r>
      <rPr>
        <vertAlign val="subscript"/>
        <sz val="10"/>
        <rFont val="Arial"/>
        <family val="2"/>
        <charset val="1"/>
      </rPr>
      <t xml:space="preserve">não_desonerado</t>
    </r>
  </si>
  <si>
    <t xml:space="preserve">(*) Descrição da categoria na CCT</t>
  </si>
  <si>
    <t xml:space="preserve">(**) Fonte: Livro SINAPI: Referências para Custos Horários e Encargos: Sistema Nacional de Pesquisa de Custos e Índices da Construção Civil / Caixa Econômica Federal. – 5ª Ed. – Brasília: CAIXA, 2022.</t>
  </si>
  <si>
    <t xml:space="preserve">(***) Fonte: SINAPI: Metodologias e Conceitos: Sistema Nacional de Pesquisa de Custos e Índices da Construção Civil / Caixa Econômica Federal. – 9ª Ed. – Brasília: CAIXA, 2023.
</t>
  </si>
  <si>
    <t xml:space="preserve">(****) Fórmula para cálculo do custo do horista, com base no custo do mensalista (Livro Metodologias e Conceitos, página 82)</t>
  </si>
  <si>
    <t xml:space="preserve">PARANÁ</t>
  </si>
  <si>
    <r>
      <rPr>
        <sz val="10"/>
        <rFont val="Arial"/>
        <family val="2"/>
        <charset val="1"/>
      </rPr>
      <t xml:space="preserve">CCT</t>
    </r>
    <r>
      <rPr>
        <sz val="12"/>
        <rFont val="Arial"/>
        <family val="2"/>
        <charset val="1"/>
      </rPr>
      <t xml:space="preserve"> </t>
    </r>
    <r>
      <rPr>
        <sz val="10"/>
        <color rgb="FF000000"/>
        <rFont val="Arial;Arial"/>
        <family val="2"/>
        <charset val="1"/>
      </rPr>
      <t xml:space="preserve">PR001817/2022 + PR001837/2023</t>
    </r>
  </si>
  <si>
    <t xml:space="preserve">Trabalhadores das indústrias da construção civil de Curitiba/PR e região</t>
  </si>
  <si>
    <t xml:space="preserve">Encargos Sociais (**) - (ES)
Apêndice 16: Encargos Sociais – Paraná</t>
  </si>
  <si>
    <t xml:space="preserve">COMPOSIÇÃO CUSTO OFICIAL DE MANUTENÇÃO PREDIAL (CBO 5143-25)</t>
  </si>
  <si>
    <t xml:space="preserve">Composição ALTERADA SINAPI – 88264</t>
  </si>
  <si>
    <t xml:space="preserve">OFICIAL DE MANUTENÇÃO PREDIAL COM ENCARGOS COMPLEMENTARES (CBO 5143-25)</t>
  </si>
  <si>
    <t xml:space="preserve">CURSO DE CAPACITAÇÃO PARA ELETRICISTA (ENCARGOS COMPLEMENTARES) - HORISTA</t>
  </si>
  <si>
    <t xml:space="preserve">Pesquisa de mercado</t>
  </si>
  <si>
    <r>
      <rPr>
        <sz val="10"/>
        <color rgb="FF000000"/>
        <rFont val="Arial"/>
        <family val="1"/>
        <charset val="1"/>
      </rPr>
      <t xml:space="preserve">OFICIAL DE MANUTENÇÃO PREDIAL (OFICIAL/PROFISSIONAL CCT </t>
    </r>
    <r>
      <rPr>
        <sz val="10"/>
        <color rgb="FF000000"/>
        <rFont val="Arial;Arial"/>
        <family val="2"/>
        <charset val="1"/>
      </rPr>
      <t xml:space="preserve">SC001231/2023 /</t>
    </r>
    <r>
      <rPr>
        <sz val="10"/>
        <color rgb="FF000000"/>
        <rFont val="Arial"/>
        <family val="1"/>
        <charset val="1"/>
      </rPr>
      <t xml:space="preserve"> CBO 5413-25)</t>
    </r>
  </si>
  <si>
    <t xml:space="preserve">ALIMENTACAO - HORISTA (COLETADO CAIXA - ENCARGOS COMPLEMENTARES)</t>
  </si>
  <si>
    <t xml:space="preserve">TRANSPORTE - HORISTA (COLETADO CAIXA - ENCARGOS COMPLEMENTARES)</t>
  </si>
  <si>
    <t xml:space="preserve">Serviços</t>
  </si>
  <si>
    <t xml:space="preserve">FERRAMENTAS - FAMILIA ELETRICISTA - HORISTA (ENCARGOS COMPLEMENTARES - COLETADO CAIXA)</t>
  </si>
  <si>
    <t xml:space="preserve">FERRAMENTAS - FAMILIA ENCANADOR - HORISTA (ENCARGOS COMPLEMENTARES - COLETADO CAIXA)</t>
  </si>
  <si>
    <t xml:space="preserve">EPI – FAMILIA ELETRICISTA - HORISTA (ENCARGOS COMPLEMENTARES - COLETADO CAIXA)</t>
  </si>
  <si>
    <t xml:space="preserve">GERÊNCIA</t>
  </si>
  <si>
    <t xml:space="preserve">ENDEREÇO</t>
  </si>
  <si>
    <t xml:space="preserve">TEMPO DE DESLOCAMENTO IDA E VOLTA DA BASE EM HORAS</t>
  </si>
  <si>
    <t xml:space="preserve">ISS</t>
  </si>
  <si>
    <t xml:space="preserve">ÁREA CONSTRUÍDA (M²)</t>
  </si>
  <si>
    <t xml:space="preserve">Uso constante
(M²)</t>
  </si>
  <si>
    <t xml:space="preserve">Uso esporádico (M²)</t>
  </si>
  <si>
    <t xml:space="preserve">Ociosa (M²)</t>
  </si>
  <si>
    <t xml:space="preserve">HIDRANTE</t>
  </si>
  <si>
    <t xml:space="preserve">SUBESTAÇÃO</t>
  </si>
  <si>
    <t xml:space="preserve">CASCAVEL</t>
  </si>
  <si>
    <t xml:space="preserve">Rua Angelo Peruzzo, 37, Centro</t>
  </si>
  <si>
    <t xml:space="preserve">NÃO</t>
  </si>
  <si>
    <t xml:space="preserve">Rua Paraná, 1147, Centro</t>
  </si>
  <si>
    <t xml:space="preserve">Rua Guanabara, 410</t>
  </si>
  <si>
    <t xml:space="preserve">SIM</t>
  </si>
  <si>
    <t xml:space="preserve">Rua Santos Dumont, 288</t>
  </si>
  <si>
    <t xml:space="preserve">Av. Clevelândia, 684, Centro</t>
  </si>
  <si>
    <t xml:space="preserve">Rua Tapajós, 520</t>
  </si>
  <si>
    <t xml:space="preserve">Rua Arnaldo Busato, 3107</t>
  </si>
  <si>
    <t xml:space="preserve">Rua Jesuíno Teodorico de Andrade, 1417</t>
  </si>
  <si>
    <t xml:space="preserve">Rua Campos Novos, 211, Centro</t>
  </si>
  <si>
    <t xml:space="preserve">Rua São João Batista, 613, Centro</t>
  </si>
  <si>
    <t xml:space="preserve">Rua Ernesto Hachmann, 435, Centro</t>
  </si>
  <si>
    <t xml:space="preserve">Rua Rui Barbosa, 42D, Centro</t>
  </si>
  <si>
    <t xml:space="preserve">Rua Independência, 221, Centro</t>
  </si>
  <si>
    <t xml:space="preserve">Av. Adelino Mangini, 313</t>
  </si>
  <si>
    <t xml:space="preserve">Av. Olavo Bilac, S/N, São José</t>
  </si>
  <si>
    <t xml:space="preserve">Rua Felipe Schmidt, 12, Centro</t>
  </si>
  <si>
    <t xml:space="preserve">Av. Euclides da Cunha, 11, Centro</t>
  </si>
  <si>
    <t xml:space="preserve">Rua Travessa Chapecó, 100</t>
  </si>
  <si>
    <t xml:space="preserve">Rua Gilio Rezzieri, 650, Centro</t>
  </si>
  <si>
    <t xml:space="preserve">Rua XV de Novembro, 1460, Centro</t>
  </si>
  <si>
    <t xml:space="preserve">Rua Saúl Brandalise, 201, Centro</t>
  </si>
  <si>
    <t xml:space="preserve">Rua Marechal Bormann, 360, Centro</t>
  </si>
  <si>
    <t xml:space="preserve">Rua Júlio Lunardi, 1725</t>
  </si>
  <si>
    <t xml:space="preserve">Rua Índio Condá, 600, Santa Maria</t>
  </si>
  <si>
    <t xml:space="preserve">PLANILHA DE COMPOSIÇÃO DAS TAXAS DE BONIFICAÇÃO E DESPESAS INDIRETAS (BDI)</t>
  </si>
  <si>
    <t xml:space="preserve">Fórmula utilizada no Acórdão TCU 2622/2013</t>
  </si>
  <si>
    <t xml:space="preserve">BDI = (((1+AC+S+R+G)*(1+DF)*(1+L)) / (1-I)) -1</t>
  </si>
  <si>
    <t xml:space="preserve">onde:</t>
  </si>
  <si>
    <t xml:space="preserve">AC = Taxa de Administração Central</t>
  </si>
  <si>
    <t xml:space="preserve">S = Taxa de Seguros</t>
  </si>
  <si>
    <t xml:space="preserve">R = Taxa de Riscos</t>
  </si>
  <si>
    <t xml:space="preserve">G = Taxa de Garantias (incluída no seguro)</t>
  </si>
  <si>
    <t xml:space="preserve">DF = Taxa de Despesas Financeiras</t>
  </si>
  <si>
    <t xml:space="preserve">L = Taxa de Lucro/Remuneração</t>
  </si>
  <si>
    <t xml:space="preserve">I = Taxa de Incidência de Impostos (PIS, COFINS, ISS e CPRB)</t>
  </si>
  <si>
    <t xml:space="preserve">ESTIMATIVA DE COMPOSIÇÃO DA TAXA DE BDI PARA OBRAS E SERVIÇOS</t>
  </si>
  <si>
    <t xml:space="preserve">AC</t>
  </si>
  <si>
    <t xml:space="preserve">AC = TAXA DE ADMINISTRAÇÃO CENTRAL</t>
  </si>
  <si>
    <t xml:space="preserve">DF</t>
  </si>
  <si>
    <t xml:space="preserve">DF = TAXA DE DESPESAS FINANCEIRAS</t>
  </si>
  <si>
    <t xml:space="preserve">S+G</t>
  </si>
  <si>
    <t xml:space="preserve">S+G = TAXA DE SEGUROS + GARANTIAS</t>
  </si>
  <si>
    <t xml:space="preserve">R</t>
  </si>
  <si>
    <t xml:space="preserve">R = TAXA DE RISCOS</t>
  </si>
  <si>
    <t xml:space="preserve">L</t>
  </si>
  <si>
    <t xml:space="preserve">L = TAXA DE LUCRO/REMUNERAÇÃO</t>
  </si>
  <si>
    <t xml:space="preserve">PIS</t>
  </si>
  <si>
    <t xml:space="preserve">COFINS</t>
  </si>
  <si>
    <t xml:space="preserve">CPRB</t>
  </si>
  <si>
    <t xml:space="preserve">BDI CALCULADO</t>
  </si>
  <si>
    <t xml:space="preserve">BDI ADOTADO</t>
  </si>
  <si>
    <t xml:space="preserve">ESTIMATIVA DE COMPOSIÇÃO DA TAXA DE BDI PARA EQUIPAMENTOS</t>
  </si>
  <si>
    <t xml:space="preserve">ISS do município</t>
  </si>
  <si>
    <t xml:space="preserve">Custo anual preventiva SEM BDI</t>
  </si>
  <si>
    <t xml:space="preserve">Custo anual preventiva COM BDI</t>
  </si>
  <si>
    <t xml:space="preserve">Alíquota ISS (%)</t>
  </si>
  <si>
    <t xml:space="preserve">Preventiva Sem BDI</t>
  </si>
  <si>
    <t xml:space="preserve">Preventiva Com BDI</t>
  </si>
  <si>
    <t xml:space="preserve">Valor total sem BDI</t>
  </si>
  <si>
    <t xml:space="preserve">Valor total com BDI</t>
  </si>
  <si>
    <t xml:space="preserve">% sem BDI</t>
  </si>
  <si>
    <t xml:space="preserve">% com BDI</t>
  </si>
</sst>
</file>

<file path=xl/styles.xml><?xml version="1.0" encoding="utf-8"?>
<styleSheet xmlns="http://schemas.openxmlformats.org/spreadsheetml/2006/main">
  <numFmts count="18">
    <numFmt numFmtId="164" formatCode="General"/>
    <numFmt numFmtId="165" formatCode="&quot; R$ &quot;* #,##0.00\ ;&quot;-R$ &quot;* #,##0.00\ ;&quot; R$ &quot;* \-#\ ;@\ "/>
    <numFmt numFmtId="166" formatCode="0%"/>
    <numFmt numFmtId="167" formatCode="[$R$-416]\ #,##0.00;[RED]\-[$R$-416]\ #,##0.00"/>
    <numFmt numFmtId="168" formatCode="General"/>
    <numFmt numFmtId="169" formatCode="#,##0.00"/>
    <numFmt numFmtId="170" formatCode="0.00"/>
    <numFmt numFmtId="171" formatCode="0.0000%"/>
    <numFmt numFmtId="172" formatCode="#,##0.00\ ;[RED]\(#,##0.00\)"/>
    <numFmt numFmtId="173" formatCode="0.00%"/>
    <numFmt numFmtId="174" formatCode="#,##0.0"/>
    <numFmt numFmtId="175" formatCode="#,##0"/>
    <numFmt numFmtId="176" formatCode="_-* #,##0.00_-;\-* #,##0.00_-;_-* \-??_-;_-@_-"/>
    <numFmt numFmtId="177" formatCode="0"/>
    <numFmt numFmtId="178" formatCode="@"/>
    <numFmt numFmtId="179" formatCode="&quot;R$ &quot;#,##0.00"/>
    <numFmt numFmtId="180" formatCode="d/m/yyyy"/>
    <numFmt numFmtId="181" formatCode="&quot;R$ &quot;#,##0.00;[RED]&quot;-R$ &quot;#,##0.00"/>
  </numFmts>
  <fonts count="29">
    <font>
      <sz val="11"/>
      <color rgb="FF00000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color rgb="FF000000"/>
      <name val="Calibri"/>
      <family val="2"/>
      <charset val="1"/>
    </font>
    <font>
      <sz val="10"/>
      <name val="Arial"/>
      <family val="2"/>
      <charset val="1"/>
    </font>
    <font>
      <sz val="11"/>
      <color rgb="FF008000"/>
      <name val="Calibri"/>
      <family val="2"/>
      <charset val="1"/>
    </font>
    <font>
      <b val="true"/>
      <sz val="8"/>
      <color rgb="FF000000"/>
      <name val="Arial"/>
      <family val="2"/>
      <charset val="1"/>
    </font>
    <font>
      <b val="true"/>
      <sz val="12"/>
      <color rgb="FF000000"/>
      <name val="Arial"/>
      <family val="2"/>
      <charset val="1"/>
    </font>
    <font>
      <b val="true"/>
      <sz val="11"/>
      <color rgb="FF000000"/>
      <name val="Arial"/>
      <family val="2"/>
      <charset val="1"/>
    </font>
    <font>
      <sz val="10"/>
      <color rgb="FF000000"/>
      <name val="Arial"/>
      <family val="2"/>
      <charset val="1"/>
    </font>
    <font>
      <b val="true"/>
      <sz val="10"/>
      <color rgb="FF000000"/>
      <name val="Arial"/>
      <family val="2"/>
      <charset val="1"/>
    </font>
    <font>
      <b val="true"/>
      <sz val="10"/>
      <name val="Arial"/>
      <family val="2"/>
      <charset val="1"/>
    </font>
    <font>
      <i val="true"/>
      <sz val="10"/>
      <name val="Arial"/>
      <family val="2"/>
      <charset val="1"/>
    </font>
    <font>
      <b val="true"/>
      <sz val="11"/>
      <name val="Arial"/>
      <family val="2"/>
      <charset val="1"/>
    </font>
    <font>
      <sz val="10"/>
      <color rgb="FF000000"/>
      <name val="Times New Roman"/>
      <family val="1"/>
      <charset val="1"/>
    </font>
    <font>
      <b val="true"/>
      <sz val="10"/>
      <color rgb="FFFF0000"/>
      <name val="Arial"/>
      <family val="2"/>
      <charset val="1"/>
    </font>
    <font>
      <sz val="10"/>
      <color rgb="FFFF0000"/>
      <name val="Arial"/>
      <family val="2"/>
      <charset val="1"/>
    </font>
    <font>
      <b val="true"/>
      <sz val="11"/>
      <name val="Arial"/>
      <family val="1"/>
      <charset val="1"/>
    </font>
    <font>
      <b val="true"/>
      <sz val="10"/>
      <name val="Arial"/>
      <family val="1"/>
      <charset val="1"/>
    </font>
    <font>
      <sz val="10"/>
      <name val="Arial"/>
      <family val="1"/>
      <charset val="1"/>
    </font>
    <font>
      <b val="true"/>
      <sz val="10"/>
      <color theme="1"/>
      <name val="Arial"/>
      <family val="1"/>
      <charset val="1"/>
    </font>
    <font>
      <sz val="10"/>
      <color rgb="FF000000"/>
      <name val="Arial"/>
      <family val="1"/>
      <charset val="1"/>
    </font>
    <font>
      <vertAlign val="subscript"/>
      <sz val="10"/>
      <name val="Arial"/>
      <family val="2"/>
      <charset val="1"/>
    </font>
    <font>
      <b val="true"/>
      <sz val="10"/>
      <color rgb="FF000000"/>
      <name val="Arial"/>
      <family val="1"/>
      <charset val="1"/>
    </font>
    <font>
      <sz val="10"/>
      <color rgb="FF000000"/>
      <name val="Arial;Arial"/>
      <family val="2"/>
      <charset val="1"/>
    </font>
    <font>
      <sz val="12"/>
      <name val="Arial"/>
      <family val="2"/>
      <charset val="1"/>
    </font>
    <font>
      <sz val="12"/>
      <color rgb="FF000000"/>
      <name val="Arial"/>
      <family val="2"/>
      <charset val="1"/>
    </font>
    <font>
      <b val="true"/>
      <sz val="13"/>
      <name val="Arial"/>
      <family val="2"/>
      <charset val="1"/>
    </font>
  </fonts>
  <fills count="10">
    <fill>
      <patternFill patternType="none"/>
    </fill>
    <fill>
      <patternFill patternType="gray125"/>
    </fill>
    <fill>
      <patternFill patternType="solid">
        <fgColor rgb="FFCCFFCC"/>
        <bgColor rgb="FFEDEDED"/>
      </patternFill>
    </fill>
    <fill>
      <patternFill patternType="solid">
        <fgColor theme="0" tint="-0.15"/>
        <bgColor rgb="FFDCDADA"/>
      </patternFill>
    </fill>
    <fill>
      <patternFill patternType="solid">
        <fgColor theme="6" tint="0.7999"/>
        <bgColor rgb="FFEEEEEE"/>
      </patternFill>
    </fill>
    <fill>
      <patternFill patternType="solid">
        <fgColor rgb="FFEEEEEE"/>
        <bgColor rgb="FFEDEDED"/>
      </patternFill>
    </fill>
    <fill>
      <patternFill patternType="solid">
        <fgColor theme="6" tint="0.5999"/>
        <bgColor rgb="FFDCDADA"/>
      </patternFill>
    </fill>
    <fill>
      <patternFill patternType="solid">
        <fgColor rgb="FFFFFFFF"/>
        <bgColor rgb="FFEEEEEE"/>
      </patternFill>
    </fill>
    <fill>
      <patternFill patternType="solid">
        <fgColor theme="2" tint="-0.05"/>
        <bgColor rgb="FFDBDBDB"/>
      </patternFill>
    </fill>
    <fill>
      <patternFill patternType="solid">
        <fgColor theme="6" tint="0.3999"/>
        <bgColor rgb="FFD9D9D9"/>
      </patternFill>
    </fill>
  </fills>
  <borders count="14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 style="thin"/>
      <top/>
      <bottom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/>
      <top style="thin"/>
      <bottom/>
      <diagonal/>
    </border>
    <border diagonalUp="false" diagonalDown="false">
      <left/>
      <right/>
      <top/>
      <bottom style="thin"/>
      <diagonal/>
    </border>
    <border diagonalUp="false" diagonalDown="false">
      <left style="thin"/>
      <right/>
      <top style="thin"/>
      <bottom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 style="thin"/>
      <top style="thin"/>
      <bottom/>
      <diagonal/>
    </border>
    <border diagonalUp="false" diagonalDown="false">
      <left style="thin"/>
      <right/>
      <top/>
      <bottom/>
      <diagonal/>
    </border>
    <border diagonalUp="false" diagonalDown="false">
      <left/>
      <right style="thin"/>
      <top/>
      <bottom/>
      <diagonal/>
    </border>
    <border diagonalUp="false" diagonalDown="false">
      <left/>
      <right style="thin"/>
      <top/>
      <bottom style="thin"/>
      <diagonal/>
    </border>
  </borders>
  <cellStyleXfs count="28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176" fontId="0" fillId="0" borderId="0" applyFont="true" applyBorder="false" applyAlignment="true" applyProtection="false">
      <alignment horizontal="general" vertical="bottom" textRotation="0" wrapText="false" indent="0" shrinkToFit="false"/>
    </xf>
    <xf numFmtId="41" fontId="1" fillId="0" borderId="0" applyFont="true" applyBorder="false" applyAlignment="false" applyProtection="false"/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42" fontId="1" fillId="0" borderId="0" applyFont="true" applyBorder="false" applyAlignment="false" applyProtection="false"/>
    <xf numFmtId="166" fontId="5" fillId="0" borderId="0" applyFont="true" applyBorder="false" applyAlignment="true" applyProtection="false">
      <alignment horizontal="general" vertical="bottom" textRotation="0" wrapText="false" indent="0" shrinkToFit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4" fillId="0" borderId="0" applyFont="true" applyBorder="false" applyAlignment="true" applyProtection="false">
      <alignment horizontal="general" vertical="bottom" textRotation="0" wrapText="false" indent="0" shrinkToFit="false"/>
    </xf>
    <xf numFmtId="164" fontId="6" fillId="2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2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2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28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center" textRotation="0" wrapText="true" indent="0" shrinkToFit="false"/>
      <protection locked="true" hidden="false"/>
    </xf>
    <xf numFmtId="164" fontId="7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3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3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3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4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0" borderId="1" xfId="0" applyFont="true" applyBorder="true" applyAlignment="true" applyProtection="true">
      <alignment horizontal="justify" vertical="center" textRotation="0" wrapText="true" indent="0" shrinkToFit="false"/>
      <protection locked="true" hidden="false"/>
    </xf>
    <xf numFmtId="164" fontId="0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0" fillId="0" borderId="1" xfId="0" applyFont="false" applyBorder="true" applyAlignment="true" applyProtection="true">
      <alignment horizontal="center" vertical="center" textRotation="0" wrapText="true" indent="0" shrinkToFit="false"/>
      <protection locked="true" hidden="false"/>
    </xf>
    <xf numFmtId="167" fontId="9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4" borderId="1" xfId="0" applyFont="true" applyBorder="true" applyAlignment="true" applyProtection="true">
      <alignment horizontal="justify" vertical="center" textRotation="0" wrapText="true" indent="0" shrinkToFit="false"/>
      <protection locked="true" hidden="false"/>
    </xf>
    <xf numFmtId="164" fontId="10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4" fontId="10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8" fontId="9" fillId="3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11" fillId="5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1" fillId="0" borderId="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9" fontId="10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10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8" fontId="11" fillId="5" borderId="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9" fontId="11" fillId="5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11" fillId="5" borderId="1" xfId="17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0" fillId="0" borderId="0" xfId="0" applyFont="false" applyBorder="false" applyAlignment="true" applyProtection="true">
      <alignment horizontal="general" vertical="center" textRotation="0" wrapText="true" indent="0" shrinkToFit="false"/>
      <protection locked="true" hidden="false"/>
    </xf>
    <xf numFmtId="164" fontId="11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8" fontId="11" fillId="4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2" fillId="4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1" fillId="4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2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0" fontId="12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1" fontId="10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12" fillId="5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1" fontId="12" fillId="5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12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71" fontId="12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7" fontId="12" fillId="5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1" fontId="12" fillId="5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2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8" fontId="9" fillId="3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70" fontId="11" fillId="4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0" fontId="11" fillId="4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10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0" fontId="11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0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0" fontId="13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center" vertical="center" textRotation="0" wrapText="false" indent="0" shrinkToFit="false"/>
      <protection locked="true" hidden="false"/>
    </xf>
    <xf numFmtId="170" fontId="10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70" fontId="9" fillId="3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0" fontId="11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70" fontId="12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70" fontId="14" fillId="3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0" fontId="12" fillId="4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2" fillId="4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2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70" fontId="11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0" fontId="11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70" fontId="12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72" fontId="10" fillId="0" borderId="1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72" fontId="10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10" fillId="0" borderId="1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72" fontId="10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73" fontId="10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0" fontId="10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70" fontId="10" fillId="0" borderId="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7" fontId="10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70" fontId="11" fillId="4" borderId="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72" fontId="11" fillId="4" borderId="1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72" fontId="11" fillId="4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11" fillId="4" borderId="1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72" fontId="11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7" fontId="12" fillId="4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12" fillId="4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5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70" fontId="10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70" fontId="10" fillId="4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10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4" fontId="10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0" fillId="0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11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11" fillId="5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0" fillId="0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74" fontId="10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4" fontId="11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5" fontId="10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5" fontId="11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11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11" fillId="0" borderId="1" xfId="17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5" fontId="11" fillId="0" borderId="5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0" fontId="11" fillId="0" borderId="2" xfId="1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11" fillId="0" borderId="6" xfId="17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5" fontId="11" fillId="0" borderId="2" xfId="17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5" fontId="11" fillId="0" borderId="1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1" fillId="0" borderId="1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0" fontId="11" fillId="0" borderId="4" xfId="1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11" fillId="0" borderId="7" xfId="17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5" fontId="11" fillId="0" borderId="3" xfId="17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75" fontId="11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0" fontId="11" fillId="0" borderId="3" xfId="1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11" fillId="0" borderId="8" xfId="17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5" fontId="11" fillId="0" borderId="9" xfId="17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5" fontId="11" fillId="0" borderId="4" xfId="17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0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4" fontId="10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4" fontId="11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11" fillId="0" borderId="1" xfId="17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75" fontId="11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0" fontId="11" fillId="0" borderId="1" xfId="1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1" fillId="4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11" fillId="4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11" fillId="4" borderId="5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11" fillId="4" borderId="1" xfId="17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7" fontId="11" fillId="4" borderId="1" xfId="17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16" fillId="4" borderId="5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16" fillId="4" borderId="1" xfId="17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0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12" fillId="3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0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11" fillId="0" borderId="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0" fillId="0" borderId="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7" fontId="10" fillId="0" borderId="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7" fontId="10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10" fillId="0" borderId="2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7" fontId="10" fillId="0" borderId="2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5" fillId="0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5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4" fontId="5" fillId="0" borderId="0" xfId="0" applyFont="true" applyBorder="false" applyAlignment="true" applyProtection="true">
      <alignment horizontal="left" vertical="center" textRotation="0" wrapText="true" indent="0" shrinkToFit="false"/>
      <protection locked="true" hidden="false"/>
    </xf>
    <xf numFmtId="164" fontId="12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12" fillId="0" borderId="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7" fontId="10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4" fontId="11" fillId="3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1" fillId="0" borderId="9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11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11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4" fontId="11" fillId="6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0" fillId="0" borderId="0" xfId="22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11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0" fillId="0" borderId="2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0" fillId="0" borderId="0" xfId="22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7" fontId="10" fillId="0" borderId="1" xfId="22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7" fontId="10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72" fontId="11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72" fontId="11" fillId="4" borderId="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70" fontId="0" fillId="0" borderId="0" xfId="0" applyFont="false" applyBorder="false" applyAlignment="true" applyProtection="true">
      <alignment horizontal="general" vertical="center" textRotation="0" wrapText="false" indent="0" shrinkToFit="false"/>
      <protection locked="true" hidden="false"/>
    </xf>
    <xf numFmtId="167" fontId="10" fillId="4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7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7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4" fontId="10" fillId="0" borderId="1" xfId="22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74" fontId="10" fillId="0" borderId="1" xfId="22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11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11" fillId="0" borderId="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5" fontId="11" fillId="0" borderId="1" xfId="22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5" fontId="11" fillId="4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17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10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4" fontId="10" fillId="0" borderId="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10" fillId="0" borderId="4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7" fontId="11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8" fillId="3" borderId="1" xfId="25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8" fillId="3" borderId="2" xfId="25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9" fillId="7" borderId="1" xfId="25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20" fillId="7" borderId="1" xfId="25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78" fontId="20" fillId="7" borderId="1" xfId="25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7" fontId="21" fillId="7" borderId="1" xfId="25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19" fillId="7" borderId="0" xfId="25" applyFont="true" applyBorder="false" applyAlignment="true" applyProtection="true">
      <alignment horizontal="left" vertical="top" textRotation="0" wrapText="true" indent="0" shrinkToFit="false"/>
      <protection locked="true" hidden="false"/>
    </xf>
    <xf numFmtId="167" fontId="20" fillId="7" borderId="0" xfId="25" applyFont="true" applyBorder="false" applyAlignment="true" applyProtection="true">
      <alignment horizontal="left" vertical="top" textRotation="0" wrapText="true" indent="0" shrinkToFit="false"/>
      <protection locked="true" hidden="false"/>
    </xf>
    <xf numFmtId="164" fontId="18" fillId="7" borderId="1" xfId="25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2" fillId="7" borderId="1" xfId="25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2" fillId="7" borderId="1" xfId="25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70" fontId="22" fillId="7" borderId="1" xfId="25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9" fontId="21" fillId="7" borderId="1" xfId="25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5" fillId="0" borderId="0" xfId="23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12" fillId="8" borderId="1" xfId="23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0" borderId="1" xfId="23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80" fontId="5" fillId="7" borderId="1" xfId="23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5" fillId="7" borderId="1" xfId="23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3" borderId="1" xfId="23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7" fontId="5" fillId="3" borderId="1" xfId="23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2" fillId="0" borderId="1" xfId="23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5" fillId="0" borderId="1" xfId="23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73" fontId="5" fillId="0" borderId="1" xfId="23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2" fillId="0" borderId="1" xfId="23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7" fontId="5" fillId="0" borderId="1" xfId="23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7" fontId="12" fillId="8" borderId="1" xfId="23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79" fontId="5" fillId="0" borderId="0" xfId="23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79" fontId="5" fillId="0" borderId="0" xfId="23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5" fillId="0" borderId="0" xfId="23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9" fillId="7" borderId="1" xfId="25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20" fillId="7" borderId="1" xfId="25" applyFont="true" applyBorder="true" applyAlignment="true" applyProtection="true">
      <alignment horizontal="left" vertical="top" textRotation="0" wrapText="true" indent="0" shrinkToFit="false"/>
      <protection locked="true" hidden="false"/>
    </xf>
    <xf numFmtId="178" fontId="20" fillId="7" borderId="1" xfId="25" applyFont="true" applyBorder="true" applyAlignment="true" applyProtection="true">
      <alignment horizontal="left" vertical="top" textRotation="0" wrapText="true" indent="0" shrinkToFit="false"/>
      <protection locked="true" hidden="false"/>
    </xf>
    <xf numFmtId="167" fontId="24" fillId="7" borderId="1" xfId="25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79" fontId="22" fillId="7" borderId="1" xfId="25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5" fillId="0" borderId="0" xfId="0" applyFont="true" applyBorder="false" applyAlignment="true" applyProtection="true">
      <alignment horizontal="general" vertical="bottom" textRotation="0" wrapText="true" indent="0" shrinkToFit="false"/>
      <protection locked="true" hidden="false"/>
    </xf>
    <xf numFmtId="164" fontId="12" fillId="4" borderId="1" xfId="23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80" fontId="5" fillId="7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5" fillId="7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9" borderId="1" xfId="23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7" fontId="5" fillId="9" borderId="1" xfId="23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2" fillId="0" borderId="1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73" fontId="5" fillId="0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1" xfId="23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70" fontId="5" fillId="0" borderId="0" xfId="23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7" fontId="12" fillId="4" borderId="1" xfId="23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9" fontId="5" fillId="0" borderId="0" xfId="23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5" fillId="0" borderId="0" xfId="23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8" fillId="3" borderId="1" xfId="27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8" fillId="3" borderId="2" xfId="27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9" fillId="7" borderId="1" xfId="27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20" fillId="7" borderId="1" xfId="27" applyFont="true" applyBorder="true" applyAlignment="true" applyProtection="true">
      <alignment horizontal="left" vertical="top" textRotation="0" wrapText="true" indent="0" shrinkToFit="false"/>
      <protection locked="true" hidden="false"/>
    </xf>
    <xf numFmtId="178" fontId="20" fillId="0" borderId="1" xfId="27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19" fillId="7" borderId="1" xfId="27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7" fontId="24" fillId="7" borderId="1" xfId="27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19" fillId="7" borderId="0" xfId="27" applyFont="true" applyBorder="false" applyAlignment="true" applyProtection="true">
      <alignment horizontal="left" vertical="top" textRotation="0" wrapText="true" indent="0" shrinkToFit="false"/>
      <protection locked="true" hidden="false"/>
    </xf>
    <xf numFmtId="167" fontId="20" fillId="7" borderId="0" xfId="27" applyFont="true" applyBorder="false" applyAlignment="true" applyProtection="true">
      <alignment horizontal="left" vertical="top" textRotation="0" wrapText="true" indent="0" shrinkToFit="false"/>
      <protection locked="true" hidden="false"/>
    </xf>
    <xf numFmtId="164" fontId="18" fillId="7" borderId="1" xfId="27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2" fillId="7" borderId="1" xfId="27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0" fontId="22" fillId="7" borderId="1" xfId="27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9" fontId="22" fillId="7" borderId="1" xfId="27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5" fillId="0" borderId="0" xfId="23" applyFont="true" applyBorder="false" applyAlignment="true" applyProtection="true">
      <alignment horizontal="general" vertical="bottom" textRotation="0" wrapText="true" indent="0" shrinkToFit="false"/>
      <protection locked="true" hidden="false"/>
    </xf>
    <xf numFmtId="164" fontId="20" fillId="7" borderId="1" xfId="27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0" fillId="7" borderId="1" xfId="25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0" fontId="20" fillId="7" borderId="1" xfId="27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9" fontId="20" fillId="7" borderId="1" xfId="27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7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8" fontId="8" fillId="3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0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2" fontId="10" fillId="0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0" fillId="0" borderId="1" xfId="25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73" fontId="10" fillId="0" borderId="1" xfId="19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0" fontId="10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0" fillId="7" borderId="1" xfId="25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8" fillId="3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8" fillId="3" borderId="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left" vertical="center" textRotation="0" wrapText="true" indent="0" shrinkToFit="false"/>
      <protection locked="true" hidden="false"/>
    </xf>
    <xf numFmtId="164" fontId="5" fillId="0" borderId="8" xfId="0" applyFont="true" applyBorder="true" applyAlignment="true" applyProtection="true">
      <alignment horizontal="justify" vertical="center" textRotation="0" wrapText="true" indent="0" shrinkToFit="false"/>
      <protection locked="true" hidden="false"/>
    </xf>
    <xf numFmtId="164" fontId="0" fillId="0" borderId="6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10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11" xfId="0" applyFont="fals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0" fillId="0" borderId="12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8" fillId="0" borderId="3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2" fillId="0" borderId="11" xfId="0" applyFont="true" applyBorder="true" applyAlignment="true" applyProtection="true">
      <alignment horizontal="justify" vertical="center" textRotation="0" wrapText="true" indent="0" shrinkToFit="false"/>
      <protection locked="true" hidden="false"/>
    </xf>
    <xf numFmtId="164" fontId="12" fillId="0" borderId="0" xfId="0" applyFont="true" applyBorder="false" applyAlignment="true" applyProtection="true">
      <alignment horizontal="justify" vertical="center" textRotation="0" wrapText="true" indent="0" shrinkToFit="false"/>
      <protection locked="true" hidden="false"/>
    </xf>
    <xf numFmtId="164" fontId="0" fillId="0" borderId="3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5" fillId="0" borderId="3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5" fillId="0" borderId="4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1" fillId="4" borderId="8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1" fillId="4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1" fillId="4" borderId="1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3" fontId="11" fillId="4" borderId="9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3" fontId="11" fillId="4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3" fontId="11" fillId="4" borderId="1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0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3" fontId="10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3" fontId="10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3" fontId="5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2" fillId="4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73" fontId="11" fillId="4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73" fontId="11" fillId="4" borderId="9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73" fontId="11" fillId="4" borderId="4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73" fontId="11" fillId="4" borderId="13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11" fillId="4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9" fillId="3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2" fillId="3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2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73" fontId="5" fillId="0" borderId="1" xfId="19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9" fontId="10" fillId="0" borderId="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81" fontId="5" fillId="0" borderId="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73" fontId="5" fillId="0" borderId="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81" fontId="12" fillId="3" borderId="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73" fontId="12" fillId="3" borderId="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79" fontId="11" fillId="3" borderId="1" xfId="0" applyFont="true" applyBorder="true" applyAlignment="true" applyProtection="true">
      <alignment horizontal="general" vertical="center" textRotation="0" wrapText="true" indent="0" shrinkToFit="false"/>
      <protection locked="true" hidden="false"/>
    </xf>
  </cellXfs>
  <cellStyles count="14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Moeda 2" xfId="20"/>
    <cellStyle name="Normal 2" xfId="21"/>
    <cellStyle name="Normal 3" xfId="22"/>
    <cellStyle name="Normal 4" xfId="23"/>
    <cellStyle name="Porcentagem 2" xfId="24"/>
    <cellStyle name="TableStyleLight1" xfId="25"/>
    <cellStyle name="TableStyleLight1 2" xfId="26"/>
    <cellStyle name="TableStyleLight1 3" xfId="27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9C9C9"/>
      <rgbColor rgb="FF808080"/>
      <rgbColor rgb="FF9999FF"/>
      <rgbColor rgb="FF993366"/>
      <rgbColor rgb="FFEEEEEE"/>
      <rgbColor rgb="FFEDEDED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DBDBDB"/>
      <rgbColor rgb="FFCCFFCC"/>
      <rgbColor rgb="FFFFFF99"/>
      <rgbColor rgb="FF66FFFF"/>
      <rgbColor rgb="FFFF99CC"/>
      <rgbColor rgb="FFCC99FF"/>
      <rgbColor rgb="FFDCDADA"/>
      <rgbColor rgb="FF3366FF"/>
      <rgbColor rgb="FF33CCCC"/>
      <rgbColor rgb="FF99FF66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6.xml"/><Relationship Id="rId13" Type="http://schemas.openxmlformats.org/officeDocument/2006/relationships/worksheet" Target="worksheets/sheet11.xml"/><Relationship Id="rId18" Type="http://schemas.openxmlformats.org/officeDocument/2006/relationships/worksheet" Target="worksheets/sheet16.xml"/><Relationship Id="rId3" Type="http://schemas.openxmlformats.org/officeDocument/2006/relationships/worksheet" Target="worksheets/sheet1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5.xml"/><Relationship Id="rId12" Type="http://schemas.openxmlformats.org/officeDocument/2006/relationships/worksheet" Target="worksheets/sheet10.xml"/><Relationship Id="rId17" Type="http://schemas.openxmlformats.org/officeDocument/2006/relationships/worksheet" Target="worksheets/sheet15.xml"/><Relationship Id="rId2" Type="http://schemas.openxmlformats.org/officeDocument/2006/relationships/styles" Target="styles.xml"/><Relationship Id="rId16" Type="http://schemas.openxmlformats.org/officeDocument/2006/relationships/worksheet" Target="worksheets/sheet14.xml"/><Relationship Id="rId20" Type="http://schemas.openxmlformats.org/officeDocument/2006/relationships/worksheet" Target="worksheets/sheet18.xml"/><Relationship Id="rId1" Type="http://schemas.openxmlformats.org/officeDocument/2006/relationships/theme" Target="theme/theme1.xml"/><Relationship Id="rId6" Type="http://schemas.openxmlformats.org/officeDocument/2006/relationships/worksheet" Target="worksheets/sheet4.xml"/><Relationship Id="rId11" Type="http://schemas.openxmlformats.org/officeDocument/2006/relationships/worksheet" Target="worksheets/sheet9.xml"/><Relationship Id="rId24" Type="http://schemas.openxmlformats.org/officeDocument/2006/relationships/customXml" Target="../customXml/item9.xml"/><Relationship Id="rId5" Type="http://schemas.openxmlformats.org/officeDocument/2006/relationships/worksheet" Target="worksheets/sheet3.xml"/><Relationship Id="rId15" Type="http://schemas.openxmlformats.org/officeDocument/2006/relationships/worksheet" Target="worksheets/sheet13.xml"/><Relationship Id="rId23" Type="http://schemas.openxmlformats.org/officeDocument/2006/relationships/customXml" Target="../customXml/item8.xml"/><Relationship Id="rId10" Type="http://schemas.openxmlformats.org/officeDocument/2006/relationships/worksheet" Target="worksheets/sheet8.xml"/><Relationship Id="rId19" Type="http://schemas.openxmlformats.org/officeDocument/2006/relationships/worksheet" Target="worksheets/sheet17.xml"/><Relationship Id="rId4" Type="http://schemas.openxmlformats.org/officeDocument/2006/relationships/worksheet" Target="worksheets/sheet2.xml"/><Relationship Id="rId9" Type="http://schemas.openxmlformats.org/officeDocument/2006/relationships/worksheet" Target="worksheets/sheet7.xml"/><Relationship Id="rId14" Type="http://schemas.openxmlformats.org/officeDocument/2006/relationships/worksheet" Target="worksheets/sheet12.xml"/><Relationship Id="rId22" Type="http://schemas.openxmlformats.org/officeDocument/2006/relationships/customXml" Target="../customXml/item7.xml"/>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1.png"/>
</Relationships>
</file>

<file path=xl/drawings/_rels/drawing2.xml.rels><?xml version="1.0" encoding="UTF-8"?>
<Relationships xmlns="http://schemas.openxmlformats.org/package/2006/relationships"><Relationship Id="rId1" Type="http://schemas.openxmlformats.org/officeDocument/2006/relationships/image" Target="../media/image2.png"/><Relationship Id="rId2" Type="http://schemas.openxmlformats.org/officeDocument/2006/relationships/image" Target="../media/image3.png"/>
</Relationships>
</file>

<file path=xl/drawings/_rels/drawing3.xml.rels><?xml version="1.0" encoding="UTF-8"?>
<Relationships xmlns="http://schemas.openxmlformats.org/package/2006/relationships"><Relationship Id="rId1" Type="http://schemas.openxmlformats.org/officeDocument/2006/relationships/image" Target="../media/image2.png"/><Relationship Id="rId2" Type="http://schemas.openxmlformats.org/officeDocument/2006/relationships/image" Target="../media/image4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2</xdr:col>
      <xdr:colOff>1579320</xdr:colOff>
      <xdr:row>1</xdr:row>
      <xdr:rowOff>97920</xdr:rowOff>
    </xdr:from>
    <xdr:to>
      <xdr:col>5</xdr:col>
      <xdr:colOff>46440</xdr:colOff>
      <xdr:row>1</xdr:row>
      <xdr:rowOff>1176120</xdr:rowOff>
    </xdr:to>
    <xdr:sp>
      <xdr:nvSpPr>
        <xdr:cNvPr id="0" name="CustomShape 1"/>
        <xdr:cNvSpPr/>
      </xdr:nvSpPr>
      <xdr:spPr>
        <a:xfrm>
          <a:off x="2441160" y="288360"/>
          <a:ext cx="2640240" cy="1078200"/>
        </a:xfrm>
        <a:prstGeom prst="rect">
          <a:avLst/>
        </a:prstGeom>
        <a:noFill/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2</xdr:col>
      <xdr:colOff>2095560</xdr:colOff>
      <xdr:row>1</xdr:row>
      <xdr:rowOff>207720</xdr:rowOff>
    </xdr:from>
    <xdr:to>
      <xdr:col>4</xdr:col>
      <xdr:colOff>380520</xdr:colOff>
      <xdr:row>1</xdr:row>
      <xdr:rowOff>1147320</xdr:rowOff>
    </xdr:to>
    <xdr:pic>
      <xdr:nvPicPr>
        <xdr:cNvPr id="1" name="Imagem 3" descr=""/>
        <xdr:cNvPicPr/>
      </xdr:nvPicPr>
      <xdr:blipFill>
        <a:blip r:embed="rId1"/>
        <a:stretch/>
      </xdr:blipFill>
      <xdr:spPr>
        <a:xfrm>
          <a:off x="2957400" y="398160"/>
          <a:ext cx="2022480" cy="93960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1</xdr:col>
      <xdr:colOff>142560</xdr:colOff>
      <xdr:row>25</xdr:row>
      <xdr:rowOff>87480</xdr:rowOff>
    </xdr:from>
    <xdr:to>
      <xdr:col>2</xdr:col>
      <xdr:colOff>2759040</xdr:colOff>
      <xdr:row>29</xdr:row>
      <xdr:rowOff>56160</xdr:rowOff>
    </xdr:to>
    <xdr:pic>
      <xdr:nvPicPr>
        <xdr:cNvPr id="2" name="Figura 2" descr=""/>
        <xdr:cNvPicPr/>
      </xdr:nvPicPr>
      <xdr:blipFill>
        <a:blip r:embed="rId1"/>
        <a:srcRect l="17758" t="51097" r="20982" b="38299"/>
        <a:stretch/>
      </xdr:blipFill>
      <xdr:spPr>
        <a:xfrm>
          <a:off x="578160" y="5835600"/>
          <a:ext cx="6277320" cy="6163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1</xdr:col>
      <xdr:colOff>6840</xdr:colOff>
      <xdr:row>21</xdr:row>
      <xdr:rowOff>30960</xdr:rowOff>
    </xdr:from>
    <xdr:to>
      <xdr:col>3</xdr:col>
      <xdr:colOff>162720</xdr:colOff>
      <xdr:row>21</xdr:row>
      <xdr:rowOff>527760</xdr:rowOff>
    </xdr:to>
    <xdr:pic>
      <xdr:nvPicPr>
        <xdr:cNvPr id="3" name="Figura 1" descr=""/>
        <xdr:cNvPicPr/>
      </xdr:nvPicPr>
      <xdr:blipFill>
        <a:blip r:embed="rId2"/>
        <a:srcRect l="6614" t="69081" r="12466" b="20121"/>
        <a:stretch/>
      </xdr:blipFill>
      <xdr:spPr>
        <a:xfrm>
          <a:off x="442440" y="3910680"/>
          <a:ext cx="6692760" cy="49680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1</xdr:col>
      <xdr:colOff>142560</xdr:colOff>
      <xdr:row>25</xdr:row>
      <xdr:rowOff>87480</xdr:rowOff>
    </xdr:from>
    <xdr:to>
      <xdr:col>2</xdr:col>
      <xdr:colOff>2759040</xdr:colOff>
      <xdr:row>29</xdr:row>
      <xdr:rowOff>56160</xdr:rowOff>
    </xdr:to>
    <xdr:pic>
      <xdr:nvPicPr>
        <xdr:cNvPr id="4" name="Figura 2" descr=""/>
        <xdr:cNvPicPr/>
      </xdr:nvPicPr>
      <xdr:blipFill>
        <a:blip r:embed="rId1"/>
        <a:srcRect l="17758" t="51097" r="20982" b="38299"/>
        <a:stretch/>
      </xdr:blipFill>
      <xdr:spPr>
        <a:xfrm>
          <a:off x="578160" y="6167520"/>
          <a:ext cx="6277320" cy="6163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0</xdr:col>
      <xdr:colOff>335160</xdr:colOff>
      <xdr:row>20</xdr:row>
      <xdr:rowOff>142560</xdr:rowOff>
    </xdr:from>
    <xdr:to>
      <xdr:col>2</xdr:col>
      <xdr:colOff>2868120</xdr:colOff>
      <xdr:row>22</xdr:row>
      <xdr:rowOff>4320</xdr:rowOff>
    </xdr:to>
    <xdr:pic>
      <xdr:nvPicPr>
        <xdr:cNvPr id="5" name="Figura 4" descr=""/>
        <xdr:cNvPicPr/>
      </xdr:nvPicPr>
      <xdr:blipFill>
        <a:blip r:embed="rId2"/>
        <a:srcRect l="14217" t="63701" r="19677" b="19108"/>
        <a:stretch/>
      </xdr:blipFill>
      <xdr:spPr>
        <a:xfrm>
          <a:off x="335160" y="3875040"/>
          <a:ext cx="6629400" cy="961560"/>
        </a:xfrm>
        <a:prstGeom prst="rect">
          <a:avLst/>
        </a:prstGeom>
        <a:ln w="0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xmlns:r="http://schemas.openxmlformats.org/officeDocument/2006/relationships" name="Tema do Office">
  <a:themeElements>
    <a:clrScheme name="Office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 pitchFamily="0" charset="1"/>
        <a:ea typeface=""/>
        <a:cs typeface=""/>
      </a:majorFont>
      <a:minorFont>
        <a:latin typeface="Calibri" panose="020F0502020204030204" pitchFamily="0" charset="1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lumMod val="110000"/>
                <a:tint val="67000"/>
              </a:schemeClr>
            </a:gs>
            <a:gs pos="50000">
              <a:schemeClr val="phClr">
                <a:lumMod val="105000"/>
                <a:tint val="73000"/>
              </a:schemeClr>
            </a:gs>
            <a:gs pos="100000">
              <a:schemeClr val="phClr">
                <a:lumMod val="105000"/>
                <a:tint val="81000"/>
              </a:schemeClr>
            </a:gs>
          </a:gsLst>
          <a:lin ang="5400000" scaled="0"/>
          <a:tileRect l="0" t="0" r="0" b="0"/>
        </a:gradFill>
        <a:gradFill>
          <a:gsLst>
            <a:gs pos="0">
              <a:schemeClr val="phClr">
                <a:lumMod val="102000"/>
                <a:tint val="94000"/>
              </a:schemeClr>
            </a:gs>
            <a:gs pos="50000">
              <a:schemeClr val="phClr">
                <a:lumMod val="100000"/>
                <a:shade val="100000"/>
              </a:schemeClr>
            </a:gs>
            <a:gs pos="100000">
              <a:schemeClr val="phClr">
                <a:lumMod val="99000"/>
                <a:shade val="78000"/>
              </a:schemeClr>
            </a:gs>
          </a:gsLst>
          <a:lin ang="5400000" scaled="0"/>
          <a:tileRect l="0" t="0" r="0" b="0"/>
        </a:gradFill>
      </a:fillStyleLst>
      <a:lnStyleLst>
        <a:ln w="6350" cap="flat" cmpd="sng" algn="ctr">
          <a:prstDash val="solid"/>
          <a:miter lim="800000"/>
        </a:ln>
        <a:ln w="12700" cap="flat" cmpd="sng" algn="ctr">
          <a:prstDash val="solid"/>
          <a:miter lim="800000"/>
        </a:ln>
        <a:ln w="19050" cap="flat" cmpd="sng" algn="ctr"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>
            <a:tint val="95000"/>
          </a:schemeClr>
        </a:solidFill>
        <a:gradFill>
          <a:gsLst>
            <a:gs pos="0">
              <a:schemeClr val="phClr">
                <a:tint val="93000"/>
                <a:shade val="98000"/>
                <a:lumMod val="102000"/>
              </a:schemeClr>
            </a:gs>
            <a:gs pos="50000">
              <a:schemeClr val="phClr">
                <a:tint val="98000"/>
                <a:shade val="90000"/>
                <a:lumMod val="103000"/>
              </a:schemeClr>
            </a:gs>
            <a:gs pos="100000">
              <a:schemeClr val="phClr">
                <a:shade val="63000"/>
              </a:schemeClr>
            </a:gs>
          </a:gsLst>
          <a:lin ang="5400000" scaled="0"/>
          <a:tileRect l="0" t="0" r="0" b="0"/>
        </a:gradFill>
      </a:bgFillStyleLst>
    </a:fmtScheme>
  </a:themeElements>
</a:theme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_rels/sheet12.xml.rels><?xml version="1.0" encoding="UTF-8"?>
<Relationships xmlns="http://schemas.openxmlformats.org/package/2006/relationships"><Relationship Id="rId1" Type="http://schemas.openxmlformats.org/officeDocument/2006/relationships/drawing" Target="../drawings/drawing2.xml"/>
</Relationships>
</file>

<file path=xl/worksheets/_rels/sheet13.xml.rels><?xml version="1.0" encoding="UTF-8"?>
<Relationships xmlns="http://schemas.openxmlformats.org/package/2006/relationships"><Relationship Id="rId1" Type="http://schemas.openxmlformats.org/officeDocument/2006/relationships/drawing" Target="../drawings/drawing3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66FFFF"/>
    <pageSetUpPr fitToPage="false"/>
  </sheetPr>
  <dimension ref="B1:G65541"/>
  <sheetViews>
    <sheetView showFormulas="false" showGridLines="false" showRowColHeaders="true" showZeros="true" rightToLeft="false" tabSelected="true" showOutlineSymbols="true" defaultGridColor="true" view="normal" topLeftCell="A1" colorId="64" zoomScale="90" zoomScaleNormal="90" zoomScalePageLayoutView="100" workbookViewId="0">
      <selection pane="topLeft" activeCell="G11" activeCellId="0" sqref="G11"/>
    </sheetView>
  </sheetViews>
  <sheetFormatPr defaultColWidth="8.41015625" defaultRowHeight="14.25" zeroHeight="false" outlineLevelRow="0" outlineLevelCol="0"/>
  <cols>
    <col collapsed="false" customWidth="true" hidden="false" outlineLevel="0" max="1" min="1" style="1" width="5.62"/>
    <col collapsed="false" customWidth="true" hidden="false" outlineLevel="0" max="2" min="2" style="2" width="5.5"/>
    <col collapsed="false" customWidth="true" hidden="false" outlineLevel="0" max="3" min="3" style="2" width="42.12"/>
    <col collapsed="false" customWidth="true" hidden="false" outlineLevel="0" max="4" min="4" style="2" width="6.12"/>
    <col collapsed="false" customWidth="true" hidden="false" outlineLevel="0" max="5" min="5" style="2" width="5.62"/>
    <col collapsed="false" customWidth="true" hidden="false" outlineLevel="0" max="6" min="6" style="2" width="15.26"/>
    <col collapsed="false" customWidth="true" hidden="false" outlineLevel="0" max="7" min="7" style="2" width="20"/>
    <col collapsed="false" customWidth="true" hidden="false" outlineLevel="0" max="254" min="8" style="2" width="10.62"/>
    <col collapsed="false" customWidth="true" hidden="false" outlineLevel="0" max="1026" min="255" style="1" width="10.5"/>
  </cols>
  <sheetData>
    <row r="1" customFormat="false" ht="15" hidden="false" customHeight="true" outlineLevel="0" collapsed="false"/>
    <row r="2" customFormat="false" ht="103.5" hidden="false" customHeight="true" outlineLevel="0" collapsed="false">
      <c r="B2" s="3"/>
      <c r="C2" s="3"/>
      <c r="D2" s="3"/>
      <c r="E2" s="3"/>
      <c r="F2" s="3"/>
      <c r="G2" s="3"/>
    </row>
    <row r="3" customFormat="false" ht="18" hidden="false" customHeight="true" outlineLevel="0" collapsed="false">
      <c r="B3" s="4"/>
      <c r="C3" s="4"/>
      <c r="D3" s="4"/>
      <c r="E3" s="4"/>
      <c r="F3" s="4"/>
      <c r="G3" s="4"/>
    </row>
    <row r="4" customFormat="false" ht="18" hidden="false" customHeight="true" outlineLevel="0" collapsed="false">
      <c r="B4" s="5" t="s">
        <v>0</v>
      </c>
      <c r="C4" s="5"/>
      <c r="D4" s="5"/>
      <c r="E4" s="5"/>
      <c r="F4" s="5"/>
      <c r="G4" s="5"/>
    </row>
    <row r="5" customFormat="false" ht="18" hidden="false" customHeight="true" outlineLevel="0" collapsed="false">
      <c r="B5" s="4"/>
      <c r="C5" s="4"/>
      <c r="D5" s="4"/>
      <c r="E5" s="4"/>
      <c r="F5" s="4"/>
      <c r="G5" s="4"/>
    </row>
    <row r="6" customFormat="false" ht="19.5" hidden="false" customHeight="true" outlineLevel="0" collapsed="false">
      <c r="B6" s="6" t="s">
        <v>1</v>
      </c>
      <c r="C6" s="6"/>
      <c r="D6" s="6"/>
      <c r="E6" s="6"/>
      <c r="F6" s="6"/>
      <c r="G6" s="6"/>
    </row>
    <row r="7" customFormat="false" ht="19.5" hidden="false" customHeight="true" outlineLevel="0" collapsed="false">
      <c r="B7" s="7" t="s">
        <v>2</v>
      </c>
      <c r="C7" s="7"/>
      <c r="D7" s="7"/>
      <c r="E7" s="7"/>
      <c r="F7" s="7"/>
      <c r="G7" s="7"/>
    </row>
    <row r="8" customFormat="false" ht="19.5" hidden="false" customHeight="true" outlineLevel="0" collapsed="false">
      <c r="B8" s="8" t="s">
        <v>3</v>
      </c>
      <c r="C8" s="8"/>
      <c r="D8" s="8"/>
      <c r="E8" s="8"/>
      <c r="F8" s="8"/>
      <c r="G8" s="8"/>
    </row>
    <row r="9" customFormat="false" ht="15.75" hidden="false" customHeight="true" outlineLevel="0" collapsed="false">
      <c r="B9" s="4"/>
      <c r="C9" s="4"/>
      <c r="D9" s="4"/>
      <c r="E9" s="4"/>
      <c r="F9" s="4"/>
      <c r="G9" s="4"/>
    </row>
    <row r="10" customFormat="false" ht="42" hidden="false" customHeight="true" outlineLevel="0" collapsed="false">
      <c r="B10" s="9" t="s">
        <v>4</v>
      </c>
      <c r="C10" s="9" t="s">
        <v>5</v>
      </c>
      <c r="D10" s="9" t="s">
        <v>6</v>
      </c>
      <c r="E10" s="9" t="s">
        <v>7</v>
      </c>
      <c r="F10" s="9" t="s">
        <v>8</v>
      </c>
      <c r="G10" s="9" t="s">
        <v>9</v>
      </c>
    </row>
    <row r="11" customFormat="false" ht="81" hidden="false" customHeight="true" outlineLevel="0" collapsed="false">
      <c r="B11" s="10" t="n">
        <v>6</v>
      </c>
      <c r="C11" s="11" t="s">
        <v>10</v>
      </c>
      <c r="D11" s="12" t="s">
        <v>11</v>
      </c>
      <c r="E11" s="12" t="n">
        <v>12</v>
      </c>
      <c r="F11" s="13" t="n">
        <f aca="false">ROUND(Resumo!D7+Resumo!F7,2)</f>
        <v>135895.03</v>
      </c>
      <c r="G11" s="14" t="n">
        <f aca="false">F11*12</f>
        <v>1630740.36</v>
      </c>
    </row>
    <row r="12" customFormat="false" ht="42" hidden="false" customHeight="true" outlineLevel="0" collapsed="false">
      <c r="B12" s="15" t="s">
        <v>12</v>
      </c>
      <c r="C12" s="15"/>
      <c r="D12" s="15"/>
      <c r="E12" s="15"/>
      <c r="F12" s="15"/>
      <c r="G12" s="15"/>
    </row>
    <row r="65541" customFormat="false" ht="12.75" hidden="false" customHeight="true" outlineLevel="0" collapsed="false"/>
  </sheetData>
  <mergeCells count="6">
    <mergeCell ref="B2:G2"/>
    <mergeCell ref="B4:G4"/>
    <mergeCell ref="B6:G6"/>
    <mergeCell ref="B7:G7"/>
    <mergeCell ref="B8:G8"/>
    <mergeCell ref="B12:G12"/>
  </mergeCells>
  <printOptions headings="false" gridLines="false" gridLinesSet="true" horizontalCentered="true" verticalCentered="false"/>
  <pageMargins left="0.7875" right="0.7875" top="0.196527777777778" bottom="0.196527777777778" header="0.511811023622047" footer="0.511811023622047"/>
  <pageSetup paperSize="9" scale="100" fitToWidth="1" fitToHeight="1" pageOrder="overThenDown" orientation="portrait" blackAndWhite="false" draft="false" cellComments="none" firstPageNumber="1" useFirstPageNumber="true" horizontalDpi="300" verticalDpi="300" copies="1"/>
  <headerFooter differentFirst="false" differentOddEven="false">
    <oddHeader/>
    <oddFooter/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FFFFFF"/>
    <pageSetUpPr fitToPage="false"/>
  </sheetPr>
  <dimension ref="B1:F16"/>
  <sheetViews>
    <sheetView showFormulas="false" showGridLines="true" showRowColHeaders="true" showZeros="true" rightToLeft="false" tabSelected="false" showOutlineSymbols="true" defaultGridColor="true" view="normal" topLeftCell="A1" colorId="64" zoomScale="90" zoomScaleNormal="90" zoomScalePageLayoutView="100" workbookViewId="0">
      <selection pane="topLeft" activeCell="A1" activeCellId="0" sqref="A1"/>
    </sheetView>
  </sheetViews>
  <sheetFormatPr defaultColWidth="10.52734375" defaultRowHeight="13.8" zeroHeight="false" outlineLevelRow="0" outlineLevelCol="0"/>
  <cols>
    <col collapsed="false" customWidth="true" hidden="false" outlineLevel="0" max="1" min="1" style="180" width="5.2"/>
    <col collapsed="false" customWidth="true" hidden="false" outlineLevel="0" max="2" min="2" style="180" width="34.96"/>
    <col collapsed="false" customWidth="true" hidden="false" outlineLevel="0" max="3" min="3" style="180" width="28.85"/>
    <col collapsed="false" customWidth="true" hidden="false" outlineLevel="0" max="4" min="4" style="180" width="15.6"/>
    <col collapsed="false" customWidth="true" hidden="false" outlineLevel="0" max="5" min="5" style="180" width="7.79"/>
    <col collapsed="false" customWidth="false" hidden="false" outlineLevel="0" max="6" min="6" style="180" width="10.53"/>
  </cols>
  <sheetData>
    <row r="1" customFormat="false" ht="15" hidden="false" customHeight="true" outlineLevel="0" collapsed="false"/>
    <row r="2" customFormat="false" ht="15" hidden="false" customHeight="true" outlineLevel="0" collapsed="false">
      <c r="C2" s="181" t="s">
        <v>183</v>
      </c>
    </row>
    <row r="3" customFormat="false" ht="15" hidden="false" customHeight="true" outlineLevel="0" collapsed="false">
      <c r="B3" s="182" t="s">
        <v>184</v>
      </c>
      <c r="C3" s="181" t="s">
        <v>185</v>
      </c>
    </row>
    <row r="4" customFormat="false" ht="15" hidden="false" customHeight="true" outlineLevel="0" collapsed="false">
      <c r="B4" s="182" t="s">
        <v>186</v>
      </c>
      <c r="C4" s="183" t="s">
        <v>187</v>
      </c>
    </row>
    <row r="5" customFormat="false" ht="15" hidden="false" customHeight="true" outlineLevel="0" collapsed="false">
      <c r="B5" s="182" t="s">
        <v>188</v>
      </c>
      <c r="C5" s="183" t="n">
        <v>45200</v>
      </c>
    </row>
    <row r="6" customFormat="false" ht="15" hidden="false" customHeight="true" outlineLevel="0" collapsed="false">
      <c r="B6" s="182" t="s">
        <v>189</v>
      </c>
      <c r="C6" s="184" t="n">
        <v>56.25</v>
      </c>
    </row>
    <row r="7" customFormat="false" ht="13.8" hidden="false" customHeight="false" outlineLevel="0" collapsed="false">
      <c r="B7" s="185"/>
      <c r="C7" s="186"/>
    </row>
    <row r="8" customFormat="false" ht="27.75" hidden="false" customHeight="true" outlineLevel="0" collapsed="false">
      <c r="B8" s="187" t="s">
        <v>190</v>
      </c>
      <c r="C8" s="188" t="s">
        <v>191</v>
      </c>
    </row>
    <row r="9" customFormat="false" ht="15" hidden="false" customHeight="true" outlineLevel="0" collapsed="false">
      <c r="B9" s="182" t="s">
        <v>192</v>
      </c>
      <c r="C9" s="189" t="n">
        <v>0.8549</v>
      </c>
    </row>
    <row r="10" customFormat="false" ht="15" hidden="false" customHeight="true" outlineLevel="0" collapsed="false">
      <c r="B10" s="182" t="s">
        <v>193</v>
      </c>
      <c r="C10" s="189" t="n">
        <v>1.1547</v>
      </c>
    </row>
    <row r="11" customFormat="false" ht="13.5" hidden="false" customHeight="true" outlineLevel="0" collapsed="false">
      <c r="B11" s="185"/>
      <c r="C11" s="185"/>
    </row>
    <row r="12" customFormat="false" ht="15" hidden="false" customHeight="true" outlineLevel="0" collapsed="false">
      <c r="B12" s="190" t="s">
        <v>194</v>
      </c>
      <c r="C12" s="191"/>
    </row>
    <row r="13" customFormat="false" ht="15" hidden="false" customHeight="true" outlineLevel="0" collapsed="false">
      <c r="B13" s="182" t="s">
        <v>195</v>
      </c>
      <c r="C13" s="192" t="n">
        <f aca="false">C6*(1+C9)</f>
        <v>104.338125</v>
      </c>
      <c r="D13" s="193"/>
      <c r="F13" s="194"/>
    </row>
    <row r="14" customFormat="false" ht="15" hidden="false" customHeight="true" outlineLevel="0" collapsed="false">
      <c r="B14" s="182" t="s">
        <v>196</v>
      </c>
      <c r="C14" s="192" t="n">
        <f aca="false">C6*(1+C10)</f>
        <v>121.201875</v>
      </c>
      <c r="D14" s="193"/>
      <c r="F14" s="194"/>
    </row>
    <row r="16" customFormat="false" ht="32.25" hidden="false" customHeight="true" outlineLevel="0" collapsed="false">
      <c r="B16" s="195" t="s">
        <v>197</v>
      </c>
      <c r="C16" s="195"/>
    </row>
  </sheetData>
  <mergeCells count="1">
    <mergeCell ref="B16:C16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Roman,Normal"&amp;12&amp;Kffffff&amp;A</oddHeader>
    <oddFooter>&amp;C&amp;"Times New Roman,Normal"&amp;12&amp;KffffffPágina 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FFFFFF"/>
    <pageSetUpPr fitToPage="false"/>
  </sheetPr>
  <dimension ref="B1:K1048576"/>
  <sheetViews>
    <sheetView showFormulas="false" showGridLines="false" showRowColHeaders="true" showZeros="true" rightToLeft="false" tabSelected="false" showOutlineSymbols="true" defaultGridColor="true" view="normal" topLeftCell="A7" colorId="64" zoomScale="90" zoomScaleNormal="90" zoomScalePageLayoutView="100" workbookViewId="0">
      <selection pane="topLeft" activeCell="D11" activeCellId="0" sqref="D11"/>
    </sheetView>
  </sheetViews>
  <sheetFormatPr defaultColWidth="8.453125" defaultRowHeight="12.75" zeroHeight="false" outlineLevelRow="0" outlineLevelCol="0"/>
  <cols>
    <col collapsed="false" customWidth="true" hidden="false" outlineLevel="0" max="1" min="1" style="1" width="5.2"/>
    <col collapsed="false" customWidth="true" hidden="false" outlineLevel="0" max="2" min="2" style="1" width="2.99"/>
    <col collapsed="false" customWidth="true" hidden="false" outlineLevel="0" max="3" min="3" style="1" width="12.21"/>
    <col collapsed="false" customWidth="true" hidden="false" outlineLevel="0" max="4" min="4" style="1" width="60.05"/>
    <col collapsed="false" customWidth="true" hidden="false" outlineLevel="0" max="5" min="5" style="1" width="30.01"/>
    <col collapsed="false" customWidth="true" hidden="false" outlineLevel="0" max="6" min="6" style="1" width="10.01"/>
    <col collapsed="false" customWidth="true" hidden="false" outlineLevel="0" max="7" min="7" style="1" width="13.78"/>
    <col collapsed="false" customWidth="true" hidden="false" outlineLevel="0" max="8" min="8" style="1" width="11.96"/>
    <col collapsed="false" customWidth="true" hidden="false" outlineLevel="0" max="9" min="9" style="1" width="14.03"/>
    <col collapsed="false" customWidth="true" hidden="false" outlineLevel="0" max="1026" min="10" style="1" width="8.57"/>
  </cols>
  <sheetData>
    <row r="1" customFormat="false" ht="15" hidden="false" customHeight="true" outlineLevel="0" collapsed="false"/>
    <row r="2" customFormat="false" ht="24.75" hidden="false" customHeight="true" outlineLevel="0" collapsed="false">
      <c r="B2" s="167" t="s">
        <v>198</v>
      </c>
      <c r="C2" s="167"/>
      <c r="D2" s="167"/>
      <c r="E2" s="167"/>
      <c r="F2" s="167"/>
      <c r="G2" s="167"/>
      <c r="H2" s="167"/>
      <c r="I2" s="167"/>
    </row>
    <row r="3" customFormat="false" ht="19.5" hidden="false" customHeight="true" outlineLevel="0" collapsed="false"/>
    <row r="4" customFormat="false" ht="16.5" hidden="false" customHeight="true" outlineLevel="0" collapsed="false">
      <c r="B4" s="168" t="s">
        <v>199</v>
      </c>
      <c r="C4" s="168"/>
      <c r="D4" s="168"/>
      <c r="E4" s="168"/>
      <c r="F4" s="168"/>
      <c r="G4" s="168"/>
      <c r="H4" s="168"/>
      <c r="I4" s="168"/>
    </row>
    <row r="5" customFormat="false" ht="16.5" hidden="false" customHeight="true" outlineLevel="0" collapsed="false">
      <c r="B5" s="196" t="s">
        <v>153</v>
      </c>
      <c r="C5" s="196"/>
      <c r="D5" s="197" t="n">
        <v>91677</v>
      </c>
      <c r="E5" s="197"/>
      <c r="F5" s="197"/>
      <c r="G5" s="197"/>
      <c r="H5" s="197"/>
      <c r="I5" s="197"/>
    </row>
    <row r="6" customFormat="false" ht="16.5" hidden="false" customHeight="true" outlineLevel="0" collapsed="false">
      <c r="B6" s="196" t="s">
        <v>123</v>
      </c>
      <c r="C6" s="196"/>
      <c r="D6" s="197" t="s">
        <v>200</v>
      </c>
      <c r="E6" s="197"/>
      <c r="F6" s="197"/>
      <c r="G6" s="197"/>
      <c r="H6" s="197"/>
      <c r="I6" s="197"/>
    </row>
    <row r="7" customFormat="false" ht="16.5" hidden="false" customHeight="true" outlineLevel="0" collapsed="false">
      <c r="B7" s="196" t="s">
        <v>156</v>
      </c>
      <c r="C7" s="196"/>
      <c r="D7" s="198" t="s">
        <v>157</v>
      </c>
      <c r="E7" s="198"/>
      <c r="F7" s="198"/>
      <c r="G7" s="198"/>
      <c r="H7" s="198"/>
      <c r="I7" s="198"/>
    </row>
    <row r="8" customFormat="false" ht="16.5" hidden="false" customHeight="true" outlineLevel="0" collapsed="false">
      <c r="B8" s="196" t="s">
        <v>158</v>
      </c>
      <c r="C8" s="196"/>
      <c r="D8" s="197" t="s">
        <v>183</v>
      </c>
      <c r="E8" s="197"/>
      <c r="F8" s="197"/>
      <c r="G8" s="197"/>
      <c r="H8" s="197"/>
      <c r="I8" s="197"/>
    </row>
    <row r="9" customFormat="false" ht="16.5" hidden="false" customHeight="true" outlineLevel="0" collapsed="false">
      <c r="B9" s="196" t="s">
        <v>160</v>
      </c>
      <c r="C9" s="196"/>
      <c r="D9" s="197" t="s">
        <v>201</v>
      </c>
      <c r="E9" s="197"/>
      <c r="F9" s="197"/>
      <c r="G9" s="197"/>
      <c r="H9" s="197"/>
      <c r="I9" s="197"/>
    </row>
    <row r="10" customFormat="false" ht="16.5" hidden="false" customHeight="true" outlineLevel="0" collapsed="false">
      <c r="B10" s="196" t="s">
        <v>124</v>
      </c>
      <c r="C10" s="196"/>
      <c r="D10" s="197" t="s">
        <v>168</v>
      </c>
      <c r="E10" s="197"/>
      <c r="F10" s="197"/>
      <c r="G10" s="197"/>
      <c r="H10" s="197"/>
      <c r="I10" s="197"/>
    </row>
    <row r="11" customFormat="false" ht="23.25" hidden="false" customHeight="true" outlineLevel="0" collapsed="false">
      <c r="B11" s="169" t="s">
        <v>162</v>
      </c>
      <c r="C11" s="169"/>
      <c r="D11" s="199" t="n">
        <f aca="false">SUM(I14:I19)</f>
        <v>126.971875</v>
      </c>
      <c r="E11" s="199"/>
      <c r="F11" s="199"/>
      <c r="G11" s="199"/>
      <c r="H11" s="199"/>
      <c r="I11" s="199"/>
    </row>
    <row r="12" customFormat="false" ht="15.75" hidden="false" customHeight="true" outlineLevel="0" collapsed="false">
      <c r="B12" s="173"/>
      <c r="C12" s="173"/>
      <c r="D12" s="174"/>
      <c r="E12" s="174"/>
      <c r="F12" s="174"/>
      <c r="G12" s="174"/>
      <c r="H12" s="174"/>
      <c r="I12" s="174"/>
    </row>
    <row r="13" customFormat="false" ht="45" hidden="false" customHeight="false" outlineLevel="0" collapsed="false">
      <c r="B13" s="175"/>
      <c r="C13" s="175" t="s">
        <v>163</v>
      </c>
      <c r="D13" s="175" t="s">
        <v>123</v>
      </c>
      <c r="E13" s="175" t="s">
        <v>160</v>
      </c>
      <c r="F13" s="175" t="s">
        <v>124</v>
      </c>
      <c r="G13" s="175" t="s">
        <v>202</v>
      </c>
      <c r="H13" s="175" t="s">
        <v>164</v>
      </c>
      <c r="I13" s="175" t="s">
        <v>162</v>
      </c>
    </row>
    <row r="14" customFormat="false" ht="19.5" hidden="false" customHeight="true" outlineLevel="0" collapsed="false">
      <c r="B14" s="176" t="s">
        <v>203</v>
      </c>
      <c r="C14" s="176" t="s">
        <v>204</v>
      </c>
      <c r="D14" s="176" t="s">
        <v>205</v>
      </c>
      <c r="E14" s="176" t="s">
        <v>206</v>
      </c>
      <c r="F14" s="176" t="s">
        <v>168</v>
      </c>
      <c r="G14" s="178" t="n">
        <v>3.84</v>
      </c>
      <c r="H14" s="178" t="n">
        <v>1</v>
      </c>
      <c r="I14" s="200" t="n">
        <f aca="false">G14*H14</f>
        <v>3.84</v>
      </c>
      <c r="J14" s="201"/>
      <c r="K14" s="201"/>
    </row>
    <row r="15" customFormat="false" ht="19.5" hidden="false" customHeight="true" outlineLevel="0" collapsed="false">
      <c r="B15" s="176" t="s">
        <v>203</v>
      </c>
      <c r="C15" s="176" t="s">
        <v>207</v>
      </c>
      <c r="D15" s="176" t="s">
        <v>185</v>
      </c>
      <c r="E15" s="176" t="s">
        <v>208</v>
      </c>
      <c r="F15" s="176" t="s">
        <v>168</v>
      </c>
      <c r="G15" s="178" t="n">
        <f aca="false">'Custo Eng. Eletricista'!C14</f>
        <v>121.201875</v>
      </c>
      <c r="H15" s="178" t="n">
        <v>1</v>
      </c>
      <c r="I15" s="200" t="n">
        <f aca="false">G15*H15</f>
        <v>121.201875</v>
      </c>
      <c r="J15" s="201"/>
      <c r="K15" s="201"/>
    </row>
    <row r="16" customFormat="false" ht="30" hidden="false" customHeight="true" outlineLevel="0" collapsed="false">
      <c r="B16" s="176" t="s">
        <v>203</v>
      </c>
      <c r="C16" s="176" t="s">
        <v>209</v>
      </c>
      <c r="D16" s="176" t="s">
        <v>210</v>
      </c>
      <c r="E16" s="176" t="s">
        <v>211</v>
      </c>
      <c r="F16" s="176" t="s">
        <v>168</v>
      </c>
      <c r="G16" s="178" t="s">
        <v>212</v>
      </c>
      <c r="H16" s="178" t="n">
        <v>1</v>
      </c>
      <c r="I16" s="200" t="n">
        <f aca="false">G16*H16</f>
        <v>1.14</v>
      </c>
      <c r="J16" s="201"/>
      <c r="K16" s="201"/>
    </row>
    <row r="17" customFormat="false" ht="30" hidden="false" customHeight="true" outlineLevel="0" collapsed="false">
      <c r="B17" s="176" t="s">
        <v>203</v>
      </c>
      <c r="C17" s="176" t="s">
        <v>213</v>
      </c>
      <c r="D17" s="176" t="s">
        <v>214</v>
      </c>
      <c r="E17" s="176" t="s">
        <v>215</v>
      </c>
      <c r="F17" s="176" t="s">
        <v>168</v>
      </c>
      <c r="G17" s="178" t="s">
        <v>216</v>
      </c>
      <c r="H17" s="178" t="n">
        <v>1</v>
      </c>
      <c r="I17" s="200" t="n">
        <f aca="false">G17*H17</f>
        <v>0.07</v>
      </c>
      <c r="J17" s="201"/>
      <c r="K17" s="201"/>
    </row>
    <row r="18" customFormat="false" ht="30" hidden="false" customHeight="true" outlineLevel="0" collapsed="false">
      <c r="B18" s="176" t="s">
        <v>203</v>
      </c>
      <c r="C18" s="176" t="s">
        <v>217</v>
      </c>
      <c r="D18" s="176" t="s">
        <v>218</v>
      </c>
      <c r="E18" s="176" t="s">
        <v>219</v>
      </c>
      <c r="F18" s="176" t="s">
        <v>168</v>
      </c>
      <c r="G18" s="178" t="s">
        <v>220</v>
      </c>
      <c r="H18" s="178" t="n">
        <v>1</v>
      </c>
      <c r="I18" s="200" t="n">
        <f aca="false">G18*H18</f>
        <v>0.01</v>
      </c>
      <c r="J18" s="201"/>
      <c r="K18" s="201"/>
    </row>
    <row r="19" customFormat="false" ht="30" hidden="false" customHeight="true" outlineLevel="0" collapsed="false">
      <c r="B19" s="176" t="s">
        <v>203</v>
      </c>
      <c r="C19" s="176" t="s">
        <v>221</v>
      </c>
      <c r="D19" s="176" t="s">
        <v>222</v>
      </c>
      <c r="E19" s="176" t="s">
        <v>219</v>
      </c>
      <c r="F19" s="176" t="s">
        <v>168</v>
      </c>
      <c r="G19" s="178" t="s">
        <v>223</v>
      </c>
      <c r="H19" s="178" t="n">
        <v>1</v>
      </c>
      <c r="I19" s="200" t="n">
        <f aca="false">G19*H19</f>
        <v>0.71</v>
      </c>
      <c r="J19" s="201"/>
      <c r="K19" s="201"/>
    </row>
    <row r="20" customFormat="false" ht="19.5" hidden="false" customHeight="true" outlineLevel="0" collapsed="false"/>
    <row r="1048514" customFormat="false" ht="12.8" hidden="false" customHeight="false" outlineLevel="0" collapsed="false"/>
    <row r="1048515" customFormat="false" ht="12.8" hidden="false" customHeight="false" outlineLevel="0" collapsed="false"/>
    <row r="1048516" customFormat="false" ht="12.8" hidden="false" customHeight="false" outlineLevel="0" collapsed="false"/>
    <row r="1048517" customFormat="false" ht="12.8" hidden="false" customHeight="false" outlineLevel="0" collapsed="false"/>
    <row r="1048518" customFormat="false" ht="12.8" hidden="false" customHeight="false" outlineLevel="0" collapsed="false"/>
    <row r="1048519" customFormat="false" ht="12.8" hidden="false" customHeight="false" outlineLevel="0" collapsed="false"/>
    <row r="1048520" customFormat="false" ht="12.8" hidden="false" customHeight="false" outlineLevel="0" collapsed="false"/>
    <row r="1048521" customFormat="false" ht="12.8" hidden="false" customHeight="false" outlineLevel="0" collapsed="false"/>
    <row r="1048522" customFormat="false" ht="12.8" hidden="false" customHeight="false" outlineLevel="0" collapsed="false"/>
    <row r="1048523" customFormat="false" ht="12.8" hidden="false" customHeight="false" outlineLevel="0" collapsed="false"/>
    <row r="1048524" customFormat="false" ht="12.8" hidden="false" customHeight="false" outlineLevel="0" collapsed="false"/>
    <row r="1048525" customFormat="false" ht="12.8" hidden="false" customHeight="false" outlineLevel="0" collapsed="false"/>
    <row r="1048526" customFormat="false" ht="12.8" hidden="false" customHeight="false" outlineLevel="0" collapsed="false"/>
    <row r="1048527" customFormat="false" ht="12.8" hidden="false" customHeight="false" outlineLevel="0" collapsed="false"/>
    <row r="1048528" customFormat="false" ht="12.8" hidden="false" customHeight="false" outlineLevel="0" collapsed="false"/>
    <row r="1048529" customFormat="false" ht="12.8" hidden="false" customHeight="false" outlineLevel="0" collapsed="false"/>
    <row r="1048530" customFormat="false" ht="12.8" hidden="false" customHeight="false" outlineLevel="0" collapsed="false"/>
    <row r="1048531" customFormat="false" ht="12.8" hidden="false" customHeight="false" outlineLevel="0" collapsed="false"/>
    <row r="1048532" customFormat="false" ht="12.8" hidden="false" customHeight="false" outlineLevel="0" collapsed="false"/>
    <row r="1048533" customFormat="false" ht="12.8" hidden="false" customHeight="false" outlineLevel="0" collapsed="false"/>
    <row r="1048534" customFormat="false" ht="12.8" hidden="false" customHeight="false" outlineLevel="0" collapsed="false"/>
    <row r="1048535" customFormat="false" ht="12.8" hidden="false" customHeight="false" outlineLevel="0" collapsed="false"/>
    <row r="1048536" customFormat="false" ht="12.8" hidden="false" customHeight="false" outlineLevel="0" collapsed="false"/>
    <row r="1048537" customFormat="false" ht="12.8" hidden="false" customHeight="false" outlineLevel="0" collapsed="false"/>
    <row r="1048538" customFormat="false" ht="12.8" hidden="false" customHeight="false" outlineLevel="0" collapsed="false"/>
    <row r="1048539" customFormat="false" ht="12.8" hidden="false" customHeight="false" outlineLevel="0" collapsed="false"/>
    <row r="1048540" customFormat="false" ht="12.8" hidden="false" customHeight="false" outlineLevel="0" collapsed="false"/>
    <row r="1048541" customFormat="false" ht="12.8" hidden="false" customHeight="false" outlineLevel="0" collapsed="false"/>
    <row r="1048542" customFormat="false" ht="12.8" hidden="false" customHeight="false" outlineLevel="0" collapsed="false"/>
    <row r="1048543" customFormat="false" ht="12.8" hidden="false" customHeight="false" outlineLevel="0" collapsed="false"/>
    <row r="1048544" customFormat="false" ht="12.8" hidden="false" customHeight="false" outlineLevel="0" collapsed="false"/>
    <row r="1048545" customFormat="false" ht="12.8" hidden="false" customHeight="false" outlineLevel="0" collapsed="false"/>
    <row r="1048546" customFormat="false" ht="12.8" hidden="false" customHeight="false" outlineLevel="0" collapsed="false"/>
    <row r="1048547" customFormat="false" ht="12.8" hidden="false" customHeight="false" outlineLevel="0" collapsed="false"/>
    <row r="1048548" customFormat="false" ht="12.8" hidden="false" customHeight="false" outlineLevel="0" collapsed="false"/>
    <row r="1048549" customFormat="false" ht="12.8" hidden="false" customHeight="false" outlineLevel="0" collapsed="false"/>
    <row r="1048550" customFormat="false" ht="12.8" hidden="false" customHeight="false" outlineLevel="0" collapsed="false"/>
    <row r="1048551" customFormat="false" ht="12.8" hidden="false" customHeight="false" outlineLevel="0" collapsed="false"/>
    <row r="1048552" customFormat="false" ht="12.8" hidden="false" customHeight="false" outlineLevel="0" collapsed="false"/>
    <row r="1048553" customFormat="false" ht="12.8" hidden="false" customHeight="false" outlineLevel="0" collapsed="false"/>
    <row r="1048554" customFormat="false" ht="12.8" hidden="false" customHeight="false" outlineLevel="0" collapsed="false"/>
    <row r="1048555" customFormat="false" ht="12.8" hidden="false" customHeight="false" outlineLevel="0" collapsed="false"/>
    <row r="1048556" customFormat="false" ht="12.8" hidden="false" customHeight="false" outlineLevel="0" collapsed="false"/>
    <row r="1048557" customFormat="false" ht="12.8" hidden="false" customHeight="false" outlineLevel="0" collapsed="false"/>
    <row r="1048558" customFormat="false" ht="12.8" hidden="false" customHeight="false" outlineLevel="0" collapsed="false"/>
    <row r="1048559" customFormat="false" ht="12.8" hidden="false" customHeight="false" outlineLevel="0" collapsed="false"/>
    <row r="1048560" customFormat="false" ht="12.8" hidden="false" customHeight="false" outlineLevel="0" collapsed="false"/>
    <row r="1048561" customFormat="false" ht="12.8" hidden="false" customHeight="false" outlineLevel="0" collapsed="false"/>
    <row r="1048562" customFormat="false" ht="12.8" hidden="false" customHeight="false" outlineLevel="0" collapsed="false"/>
    <row r="1048563" customFormat="false" ht="12.8" hidden="false" customHeight="false" outlineLevel="0" collapsed="false"/>
    <row r="1048564" customFormat="false" ht="12.8" hidden="false" customHeight="false" outlineLevel="0" collapsed="false"/>
    <row r="1048565" customFormat="false" ht="12.8" hidden="false" customHeight="false" outlineLevel="0" collapsed="false"/>
    <row r="1048566" customFormat="false" ht="12.8" hidden="false" customHeight="false" outlineLevel="0" collapsed="false"/>
    <row r="1048567" customFormat="false" ht="12.8" hidden="false" customHeight="false" outlineLevel="0" collapsed="false"/>
    <row r="1048568" customFormat="false" ht="12.8" hidden="false" customHeight="false" outlineLevel="0" collapsed="false"/>
    <row r="1048569" customFormat="false" ht="12.8" hidden="false" customHeight="false" outlineLevel="0" collapsed="false"/>
    <row r="1048570" customFormat="false" ht="12.8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16">
    <mergeCell ref="B2:I2"/>
    <mergeCell ref="B4:I4"/>
    <mergeCell ref="B5:C5"/>
    <mergeCell ref="D5:I5"/>
    <mergeCell ref="B6:C6"/>
    <mergeCell ref="D6:I6"/>
    <mergeCell ref="B7:C7"/>
    <mergeCell ref="D7:I7"/>
    <mergeCell ref="B8:C8"/>
    <mergeCell ref="D8:I8"/>
    <mergeCell ref="B9:C9"/>
    <mergeCell ref="D9:I9"/>
    <mergeCell ref="B10:C10"/>
    <mergeCell ref="D10:I10"/>
    <mergeCell ref="B11:C11"/>
    <mergeCell ref="D11:I11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Roman,Normal"&amp;12&amp;Kffffff&amp;A</oddHeader>
    <oddFooter>&amp;C&amp;"Times New Roman,Normal"&amp;12&amp;KffffffPágina 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FFFFFF"/>
    <pageSetUpPr fitToPage="false"/>
  </sheetPr>
  <dimension ref="B1:E25"/>
  <sheetViews>
    <sheetView showFormulas="false" showGridLines="false" showRowColHeaders="true" showZeros="true" rightToLeft="false" tabSelected="false" showOutlineSymbols="true" defaultGridColor="true" view="normal" topLeftCell="A1" colorId="64" zoomScale="90" zoomScaleNormal="90" zoomScalePageLayoutView="100" workbookViewId="0">
      <selection pane="topLeft" activeCell="G15" activeCellId="0" sqref="G15"/>
    </sheetView>
  </sheetViews>
  <sheetFormatPr defaultColWidth="10.125" defaultRowHeight="12.75" zeroHeight="false" outlineLevelRow="0" outlineLevelCol="0"/>
  <cols>
    <col collapsed="false" customWidth="true" hidden="false" outlineLevel="0" max="1" min="1" style="180" width="5.62"/>
    <col collapsed="false" customWidth="true" hidden="false" outlineLevel="0" max="2" min="2" style="180" width="47.25"/>
    <col collapsed="false" customWidth="true" hidden="false" outlineLevel="0" max="3" min="3" style="180" width="37.12"/>
    <col collapsed="false" customWidth="true" hidden="false" outlineLevel="0" max="4" min="4" style="180" width="29.88"/>
    <col collapsed="false" customWidth="true" hidden="false" outlineLevel="0" max="5" min="5" style="180" width="14.25"/>
  </cols>
  <sheetData>
    <row r="1" customFormat="false" ht="15" hidden="false" customHeight="true" outlineLevel="0" collapsed="false"/>
    <row r="2" customFormat="false" ht="13" hidden="false" customHeight="false" outlineLevel="0" collapsed="false">
      <c r="C2" s="202" t="s">
        <v>183</v>
      </c>
    </row>
    <row r="3" customFormat="false" ht="12.8" hidden="false" customHeight="false" outlineLevel="0" collapsed="false">
      <c r="B3" s="182" t="s">
        <v>224</v>
      </c>
      <c r="C3" s="202" t="s">
        <v>225</v>
      </c>
    </row>
    <row r="4" customFormat="false" ht="12.8" hidden="false" customHeight="false" outlineLevel="0" collapsed="false">
      <c r="B4" s="182" t="s">
        <v>226</v>
      </c>
      <c r="C4" s="183" t="s">
        <v>227</v>
      </c>
    </row>
    <row r="5" customFormat="false" ht="12.8" hidden="false" customHeight="false" outlineLevel="0" collapsed="false">
      <c r="B5" s="182" t="s">
        <v>188</v>
      </c>
      <c r="C5" s="203" t="n">
        <v>45047</v>
      </c>
    </row>
    <row r="6" customFormat="false" ht="23.3" hidden="false" customHeight="false" outlineLevel="0" collapsed="false">
      <c r="B6" s="182" t="s">
        <v>228</v>
      </c>
      <c r="C6" s="183" t="s">
        <v>229</v>
      </c>
    </row>
    <row r="7" customFormat="false" ht="12.8" hidden="false" customHeight="false" outlineLevel="0" collapsed="false">
      <c r="B7" s="182" t="s">
        <v>230</v>
      </c>
      <c r="C7" s="204" t="n">
        <v>2760</v>
      </c>
    </row>
    <row r="8" customFormat="false" ht="12.75" hidden="false" customHeight="false" outlineLevel="0" collapsed="false">
      <c r="B8" s="205"/>
      <c r="C8" s="206"/>
    </row>
    <row r="9" customFormat="false" ht="23.3" hidden="false" customHeight="false" outlineLevel="0" collapsed="false">
      <c r="B9" s="207" t="s">
        <v>231</v>
      </c>
      <c r="C9" s="182"/>
    </row>
    <row r="10" customFormat="false" ht="12.8" hidden="false" customHeight="false" outlineLevel="0" collapsed="false">
      <c r="B10" s="182" t="s">
        <v>192</v>
      </c>
      <c r="C10" s="208" t="n">
        <v>0.8549</v>
      </c>
    </row>
    <row r="11" customFormat="false" ht="12.8" hidden="false" customHeight="false" outlineLevel="0" collapsed="false">
      <c r="B11" s="182" t="s">
        <v>162</v>
      </c>
      <c r="C11" s="208" t="n">
        <v>0.4784</v>
      </c>
    </row>
    <row r="12" customFormat="false" ht="12.8" hidden="false" customHeight="false" outlineLevel="0" collapsed="false">
      <c r="B12" s="182" t="s">
        <v>193</v>
      </c>
      <c r="C12" s="208" t="n">
        <v>1.1547</v>
      </c>
    </row>
    <row r="13" customFormat="false" ht="13.8" hidden="false" customHeight="false" outlineLevel="0" collapsed="false">
      <c r="B13" s="182" t="s">
        <v>232</v>
      </c>
      <c r="C13" s="208" t="n">
        <v>0.718</v>
      </c>
    </row>
    <row r="14" customFormat="false" ht="13.5" hidden="false" customHeight="true" outlineLevel="0" collapsed="false">
      <c r="B14" s="205"/>
      <c r="C14" s="205"/>
    </row>
    <row r="15" customFormat="false" ht="12.75" hidden="false" customHeight="false" outlineLevel="0" collapsed="false">
      <c r="B15" s="190" t="s">
        <v>233</v>
      </c>
      <c r="C15" s="191"/>
    </row>
    <row r="16" customFormat="false" ht="15.75" hidden="false" customHeight="false" outlineLevel="0" collapsed="false">
      <c r="B16" s="209" t="s">
        <v>234</v>
      </c>
      <c r="C16" s="191" t="n">
        <f aca="false">C7*(1+C11)</f>
        <v>4080.384</v>
      </c>
      <c r="D16" s="210"/>
      <c r="E16" s="210"/>
    </row>
    <row r="17" customFormat="false" ht="15.75" hidden="false" customHeight="false" outlineLevel="0" collapsed="false">
      <c r="B17" s="209" t="s">
        <v>235</v>
      </c>
      <c r="C17" s="191" t="n">
        <f aca="false">C7*(1+C13)</f>
        <v>4741.68</v>
      </c>
      <c r="D17" s="210"/>
      <c r="E17" s="210"/>
    </row>
    <row r="18" customFormat="false" ht="15.75" hidden="false" customHeight="false" outlineLevel="0" collapsed="false">
      <c r="B18" s="209" t="s">
        <v>236</v>
      </c>
      <c r="C18" s="211" t="n">
        <f aca="false">C16*(1+C10)/(220*(1+C11))</f>
        <v>23.2705636363636</v>
      </c>
      <c r="D18" s="212"/>
      <c r="E18" s="210"/>
    </row>
    <row r="19" customFormat="false" ht="15.75" hidden="false" customHeight="false" outlineLevel="0" collapsed="false">
      <c r="B19" s="209" t="s">
        <v>237</v>
      </c>
      <c r="C19" s="211" t="n">
        <f aca="false">(C17*(1+C12)/(220*(1+C13)))</f>
        <v>27.0316909090909</v>
      </c>
      <c r="D19" s="212"/>
      <c r="E19" s="210"/>
    </row>
    <row r="21" customFormat="false" ht="12.75" hidden="false" customHeight="false" outlineLevel="0" collapsed="false">
      <c r="B21" s="180" t="s">
        <v>238</v>
      </c>
    </row>
    <row r="22" customFormat="false" ht="48.85" hidden="false" customHeight="true" outlineLevel="0" collapsed="false"/>
    <row r="23" customFormat="false" ht="34.5" hidden="false" customHeight="true" outlineLevel="0" collapsed="false">
      <c r="B23" s="195" t="s">
        <v>239</v>
      </c>
      <c r="C23" s="195"/>
    </row>
    <row r="24" customFormat="false" ht="33.75" hidden="false" customHeight="true" outlineLevel="0" collapsed="false">
      <c r="B24" s="195" t="s">
        <v>240</v>
      </c>
      <c r="C24" s="195"/>
    </row>
    <row r="25" customFormat="false" ht="30" hidden="false" customHeight="true" outlineLevel="0" collapsed="false">
      <c r="B25" s="195" t="s">
        <v>241</v>
      </c>
      <c r="C25" s="195"/>
    </row>
  </sheetData>
  <mergeCells count="3">
    <mergeCell ref="B23:C23"/>
    <mergeCell ref="B24:C24"/>
    <mergeCell ref="B25:C25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Roman,Normal"&amp;12&amp;Kffffff&amp;A</oddHeader>
    <oddFooter>&amp;C&amp;"Times New Roman,Normal"&amp;12&amp;KffffffPágina &amp;P</oddFooter>
  </headerFooter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FFFFFF"/>
    <pageSetUpPr fitToPage="false"/>
  </sheetPr>
  <dimension ref="B1:E25"/>
  <sheetViews>
    <sheetView showFormulas="false" showGridLines="false" showRowColHeaders="true" showZeros="true" rightToLeft="false" tabSelected="false" showOutlineSymbols="true" defaultGridColor="true" view="normal" topLeftCell="A16" colorId="64" zoomScale="90" zoomScaleNormal="90" zoomScalePageLayoutView="100" workbookViewId="0">
      <selection pane="topLeft" activeCell="I22" activeCellId="0" sqref="I22"/>
    </sheetView>
  </sheetViews>
  <sheetFormatPr defaultColWidth="10.125" defaultRowHeight="12.75" zeroHeight="false" outlineLevelRow="0" outlineLevelCol="0"/>
  <cols>
    <col collapsed="false" customWidth="true" hidden="false" outlineLevel="0" max="1" min="1" style="180" width="5.62"/>
    <col collapsed="false" customWidth="true" hidden="false" outlineLevel="0" max="2" min="2" style="180" width="47.25"/>
    <col collapsed="false" customWidth="true" hidden="false" outlineLevel="0" max="3" min="3" style="180" width="37.12"/>
    <col collapsed="false" customWidth="true" hidden="false" outlineLevel="0" max="4" min="4" style="180" width="29.88"/>
    <col collapsed="false" customWidth="true" hidden="false" outlineLevel="0" max="5" min="5" style="180" width="14.25"/>
  </cols>
  <sheetData>
    <row r="1" customFormat="false" ht="15" hidden="false" customHeight="true" outlineLevel="0" collapsed="false"/>
    <row r="2" customFormat="false" ht="13" hidden="false" customHeight="false" outlineLevel="0" collapsed="false">
      <c r="C2" s="202" t="s">
        <v>242</v>
      </c>
    </row>
    <row r="3" customFormat="false" ht="12.8" hidden="false" customHeight="false" outlineLevel="0" collapsed="false">
      <c r="B3" s="182" t="s">
        <v>224</v>
      </c>
      <c r="C3" s="202" t="s">
        <v>225</v>
      </c>
    </row>
    <row r="4" customFormat="false" ht="14.95" hidden="false" customHeight="false" outlineLevel="0" collapsed="false">
      <c r="B4" s="182" t="s">
        <v>226</v>
      </c>
      <c r="C4" s="203" t="s">
        <v>243</v>
      </c>
    </row>
    <row r="5" customFormat="false" ht="12.8" hidden="false" customHeight="false" outlineLevel="0" collapsed="false">
      <c r="B5" s="182" t="s">
        <v>188</v>
      </c>
      <c r="C5" s="203" t="n">
        <v>45078</v>
      </c>
    </row>
    <row r="6" customFormat="false" ht="23.3" hidden="false" customHeight="false" outlineLevel="0" collapsed="false">
      <c r="B6" s="182" t="s">
        <v>228</v>
      </c>
      <c r="C6" s="203" t="s">
        <v>244</v>
      </c>
    </row>
    <row r="7" customFormat="false" ht="12.8" hidden="false" customHeight="false" outlineLevel="0" collapsed="false">
      <c r="B7" s="182" t="s">
        <v>230</v>
      </c>
      <c r="C7" s="204" t="n">
        <v>2596</v>
      </c>
    </row>
    <row r="8" customFormat="false" ht="12.75" hidden="false" customHeight="false" outlineLevel="0" collapsed="false">
      <c r="B8" s="205"/>
      <c r="C8" s="206"/>
    </row>
    <row r="9" customFormat="false" ht="23.3" hidden="false" customHeight="false" outlineLevel="0" collapsed="false">
      <c r="B9" s="207" t="s">
        <v>245</v>
      </c>
      <c r="C9" s="182"/>
    </row>
    <row r="10" customFormat="false" ht="12.8" hidden="false" customHeight="false" outlineLevel="0" collapsed="false">
      <c r="B10" s="182" t="s">
        <v>192</v>
      </c>
      <c r="C10" s="208" t="n">
        <v>0.8708</v>
      </c>
    </row>
    <row r="11" customFormat="false" ht="12.8" hidden="false" customHeight="false" outlineLevel="0" collapsed="false">
      <c r="B11" s="182" t="s">
        <v>162</v>
      </c>
      <c r="C11" s="208" t="n">
        <v>0.488</v>
      </c>
    </row>
    <row r="12" customFormat="false" ht="12.8" hidden="false" customHeight="false" outlineLevel="0" collapsed="false">
      <c r="B12" s="182" t="s">
        <v>193</v>
      </c>
      <c r="C12" s="208" t="n">
        <v>1.17</v>
      </c>
    </row>
    <row r="13" customFormat="false" ht="12.8" hidden="false" customHeight="false" outlineLevel="0" collapsed="false">
      <c r="B13" s="182" t="s">
        <v>232</v>
      </c>
      <c r="C13" s="208" t="n">
        <v>0.7268</v>
      </c>
    </row>
    <row r="14" customFormat="false" ht="13.5" hidden="false" customHeight="true" outlineLevel="0" collapsed="false">
      <c r="B14" s="205"/>
      <c r="C14" s="205"/>
    </row>
    <row r="15" customFormat="false" ht="12.75" hidden="false" customHeight="false" outlineLevel="0" collapsed="false">
      <c r="B15" s="190" t="s">
        <v>233</v>
      </c>
      <c r="C15" s="191"/>
    </row>
    <row r="16" customFormat="false" ht="15.75" hidden="false" customHeight="false" outlineLevel="0" collapsed="false">
      <c r="B16" s="209" t="s">
        <v>234</v>
      </c>
      <c r="C16" s="191" t="n">
        <f aca="false">C7*(1+C11)</f>
        <v>3862.848</v>
      </c>
      <c r="D16" s="210"/>
      <c r="E16" s="210"/>
    </row>
    <row r="17" customFormat="false" ht="15.75" hidden="false" customHeight="false" outlineLevel="0" collapsed="false">
      <c r="B17" s="209" t="s">
        <v>235</v>
      </c>
      <c r="C17" s="191" t="n">
        <f aca="false">C7*(1+C13)</f>
        <v>4482.7728</v>
      </c>
      <c r="D17" s="210"/>
      <c r="E17" s="210"/>
    </row>
    <row r="18" customFormat="false" ht="15.75" hidden="false" customHeight="false" outlineLevel="0" collapsed="false">
      <c r="B18" s="209" t="s">
        <v>236</v>
      </c>
      <c r="C18" s="211" t="n">
        <f aca="false">C16*(1+C10)/(220*(1+C11))</f>
        <v>22.07544</v>
      </c>
      <c r="D18" s="212"/>
      <c r="E18" s="210"/>
    </row>
    <row r="19" customFormat="false" ht="15.75" hidden="false" customHeight="false" outlineLevel="0" collapsed="false">
      <c r="B19" s="209" t="s">
        <v>237</v>
      </c>
      <c r="C19" s="211" t="n">
        <f aca="false">(C17*(1+C12)/(220*(1+C13)))</f>
        <v>25.606</v>
      </c>
      <c r="D19" s="212"/>
      <c r="E19" s="210"/>
    </row>
    <row r="21" customFormat="false" ht="12.75" hidden="false" customHeight="false" outlineLevel="0" collapsed="false">
      <c r="B21" s="180" t="s">
        <v>238</v>
      </c>
    </row>
    <row r="22" customFormat="false" ht="73.85" hidden="false" customHeight="true" outlineLevel="0" collapsed="false"/>
    <row r="23" customFormat="false" ht="34.5" hidden="false" customHeight="true" outlineLevel="0" collapsed="false">
      <c r="B23" s="195" t="s">
        <v>239</v>
      </c>
      <c r="C23" s="195"/>
    </row>
    <row r="24" customFormat="false" ht="33.75" hidden="false" customHeight="true" outlineLevel="0" collapsed="false">
      <c r="B24" s="195" t="s">
        <v>240</v>
      </c>
      <c r="C24" s="195"/>
    </row>
    <row r="25" customFormat="false" ht="30" hidden="false" customHeight="true" outlineLevel="0" collapsed="false">
      <c r="B25" s="195" t="s">
        <v>241</v>
      </c>
      <c r="C25" s="195"/>
    </row>
  </sheetData>
  <mergeCells count="3">
    <mergeCell ref="B23:C23"/>
    <mergeCell ref="B24:C24"/>
    <mergeCell ref="B25:C25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Roman,Normal"&amp;12&amp;Kffffff&amp;A</oddHeader>
    <oddFooter>&amp;C&amp;"Times New Roman,Normal"&amp;12&amp;KffffffPágina &amp;P</oddFooter>
  </headerFooter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FFFFFF"/>
    <pageSetUpPr fitToPage="false"/>
  </sheetPr>
  <dimension ref="B1:K22"/>
  <sheetViews>
    <sheetView showFormulas="false" showGridLines="true" showRowColHeaders="true" showZeros="true" rightToLeft="false" tabSelected="false" showOutlineSymbols="true" defaultGridColor="true" view="normal" topLeftCell="A19" colorId="64" zoomScale="100" zoomScaleNormal="100" zoomScalePageLayoutView="100" workbookViewId="0">
      <selection pane="topLeft" activeCell="A1" activeCellId="0" sqref="A1"/>
    </sheetView>
  </sheetViews>
  <sheetFormatPr defaultColWidth="8.125" defaultRowHeight="12.75" zeroHeight="false" outlineLevelRow="0" outlineLevelCol="0"/>
  <cols>
    <col collapsed="false" customWidth="true" hidden="false" outlineLevel="0" max="1" min="1" style="213" width="5.62"/>
    <col collapsed="false" customWidth="true" hidden="false" outlineLevel="0" max="2" min="2" style="213" width="2.88"/>
    <col collapsed="false" customWidth="true" hidden="false" outlineLevel="0" max="3" min="3" style="213" width="11.75"/>
    <col collapsed="false" customWidth="true" hidden="false" outlineLevel="0" max="4" min="4" style="213" width="57.75"/>
    <col collapsed="false" customWidth="true" hidden="false" outlineLevel="0" max="5" min="5" style="213" width="28.88"/>
    <col collapsed="false" customWidth="true" hidden="false" outlineLevel="0" max="6" min="6" style="213" width="9.62"/>
    <col collapsed="false" customWidth="true" hidden="false" outlineLevel="0" max="7" min="7" style="213" width="13.25"/>
    <col collapsed="false" customWidth="true" hidden="false" outlineLevel="0" max="8" min="8" style="213" width="11.5"/>
    <col collapsed="false" customWidth="true" hidden="false" outlineLevel="0" max="9" min="9" style="213" width="13.5"/>
    <col collapsed="false" customWidth="true" hidden="false" outlineLevel="0" max="1026" min="10" style="213" width="8.25"/>
  </cols>
  <sheetData>
    <row r="1" customFormat="false" ht="15" hidden="false" customHeight="true" outlineLevel="0" collapsed="false"/>
    <row r="2" customFormat="false" ht="24.75" hidden="false" customHeight="true" outlineLevel="0" collapsed="false">
      <c r="B2" s="214" t="s">
        <v>246</v>
      </c>
      <c r="C2" s="214"/>
      <c r="D2" s="214"/>
      <c r="E2" s="214"/>
      <c r="F2" s="214"/>
      <c r="G2" s="214"/>
      <c r="H2" s="214"/>
      <c r="I2" s="214"/>
    </row>
    <row r="3" customFormat="false" ht="21" hidden="false" customHeight="true" outlineLevel="0" collapsed="false"/>
    <row r="4" customFormat="false" ht="16.5" hidden="false" customHeight="true" outlineLevel="0" collapsed="false">
      <c r="B4" s="215" t="s">
        <v>247</v>
      </c>
      <c r="C4" s="215"/>
      <c r="D4" s="215"/>
      <c r="E4" s="215"/>
      <c r="F4" s="215"/>
      <c r="G4" s="215"/>
      <c r="H4" s="215"/>
      <c r="I4" s="215"/>
    </row>
    <row r="5" customFormat="false" ht="16.5" hidden="false" customHeight="true" outlineLevel="0" collapsed="false">
      <c r="B5" s="216" t="s">
        <v>153</v>
      </c>
      <c r="C5" s="216"/>
      <c r="D5" s="217" t="n">
        <v>88264</v>
      </c>
      <c r="E5" s="217"/>
      <c r="F5" s="217"/>
      <c r="G5" s="217"/>
      <c r="H5" s="217"/>
      <c r="I5" s="217"/>
    </row>
    <row r="6" customFormat="false" ht="16.5" hidden="false" customHeight="true" outlineLevel="0" collapsed="false">
      <c r="B6" s="216" t="s">
        <v>123</v>
      </c>
      <c r="C6" s="216"/>
      <c r="D6" s="217" t="s">
        <v>248</v>
      </c>
      <c r="E6" s="217"/>
      <c r="F6" s="217"/>
      <c r="G6" s="217"/>
      <c r="H6" s="217"/>
      <c r="I6" s="217"/>
    </row>
    <row r="7" customFormat="false" ht="16.5" hidden="false" customHeight="true" outlineLevel="0" collapsed="false">
      <c r="B7" s="216" t="s">
        <v>156</v>
      </c>
      <c r="C7" s="216"/>
      <c r="D7" s="218" t="s">
        <v>157</v>
      </c>
      <c r="E7" s="218"/>
      <c r="F7" s="218"/>
      <c r="G7" s="218"/>
      <c r="H7" s="218"/>
      <c r="I7" s="218"/>
    </row>
    <row r="8" customFormat="false" ht="16.5" hidden="false" customHeight="true" outlineLevel="0" collapsed="false">
      <c r="B8" s="216" t="s">
        <v>158</v>
      </c>
      <c r="C8" s="216"/>
      <c r="D8" s="217" t="s">
        <v>183</v>
      </c>
      <c r="E8" s="217"/>
      <c r="F8" s="217"/>
      <c r="G8" s="217"/>
      <c r="H8" s="217"/>
      <c r="I8" s="217"/>
    </row>
    <row r="9" customFormat="false" ht="16.5" hidden="false" customHeight="true" outlineLevel="0" collapsed="false">
      <c r="B9" s="216" t="s">
        <v>160</v>
      </c>
      <c r="C9" s="216"/>
      <c r="D9" s="217" t="s">
        <v>201</v>
      </c>
      <c r="E9" s="217"/>
      <c r="F9" s="217"/>
      <c r="G9" s="217"/>
      <c r="H9" s="217"/>
      <c r="I9" s="217"/>
    </row>
    <row r="10" customFormat="false" ht="16.5" hidden="false" customHeight="true" outlineLevel="0" collapsed="false">
      <c r="B10" s="216" t="s">
        <v>124</v>
      </c>
      <c r="C10" s="216"/>
      <c r="D10" s="217" t="s">
        <v>168</v>
      </c>
      <c r="E10" s="217"/>
      <c r="F10" s="217"/>
      <c r="G10" s="217"/>
      <c r="H10" s="217"/>
      <c r="I10" s="217"/>
    </row>
    <row r="11" customFormat="false" ht="23.25" hidden="false" customHeight="true" outlineLevel="0" collapsed="false">
      <c r="B11" s="219" t="s">
        <v>162</v>
      </c>
      <c r="C11" s="219"/>
      <c r="D11" s="220" t="n">
        <f aca="false">SUM(I14:I22)</f>
        <v>32.38</v>
      </c>
      <c r="E11" s="220"/>
      <c r="F11" s="220"/>
      <c r="G11" s="220"/>
      <c r="H11" s="220"/>
      <c r="I11" s="220"/>
    </row>
    <row r="12" customFormat="false" ht="15.75" hidden="false" customHeight="true" outlineLevel="0" collapsed="false">
      <c r="B12" s="221"/>
      <c r="C12" s="221"/>
      <c r="D12" s="222"/>
      <c r="E12" s="222"/>
      <c r="F12" s="222"/>
      <c r="G12" s="222"/>
      <c r="H12" s="222"/>
      <c r="I12" s="222"/>
    </row>
    <row r="13" customFormat="false" ht="39.5" hidden="false" customHeight="false" outlineLevel="0" collapsed="false">
      <c r="B13" s="223"/>
      <c r="C13" s="223" t="s">
        <v>163</v>
      </c>
      <c r="D13" s="223" t="s">
        <v>123</v>
      </c>
      <c r="E13" s="223" t="s">
        <v>160</v>
      </c>
      <c r="F13" s="223" t="s">
        <v>124</v>
      </c>
      <c r="G13" s="223" t="s">
        <v>202</v>
      </c>
      <c r="H13" s="223" t="s">
        <v>164</v>
      </c>
      <c r="I13" s="223" t="s">
        <v>162</v>
      </c>
    </row>
    <row r="14" customFormat="false" ht="27.75" hidden="false" customHeight="true" outlineLevel="0" collapsed="false">
      <c r="B14" s="224" t="s">
        <v>165</v>
      </c>
      <c r="C14" s="224" t="n">
        <v>95332</v>
      </c>
      <c r="D14" s="224" t="s">
        <v>249</v>
      </c>
      <c r="E14" s="224" t="s">
        <v>201</v>
      </c>
      <c r="F14" s="224" t="s">
        <v>168</v>
      </c>
      <c r="G14" s="176" t="n">
        <v>1.26</v>
      </c>
      <c r="H14" s="225" t="n">
        <v>1</v>
      </c>
      <c r="I14" s="226" t="n">
        <f aca="false">G14*H14</f>
        <v>1.26</v>
      </c>
      <c r="J14" s="227"/>
      <c r="K14" s="227"/>
    </row>
    <row r="15" customFormat="false" ht="32.25" hidden="false" customHeight="true" outlineLevel="0" collapsed="false">
      <c r="B15" s="224" t="s">
        <v>203</v>
      </c>
      <c r="C15" s="224" t="s">
        <v>250</v>
      </c>
      <c r="D15" s="224" t="s">
        <v>251</v>
      </c>
      <c r="E15" s="224" t="s">
        <v>208</v>
      </c>
      <c r="F15" s="224" t="s">
        <v>168</v>
      </c>
      <c r="G15" s="176" t="n">
        <v>27.03</v>
      </c>
      <c r="H15" s="225" t="n">
        <v>1</v>
      </c>
      <c r="I15" s="226" t="n">
        <f aca="false">G15*H15</f>
        <v>27.03</v>
      </c>
      <c r="J15" s="227"/>
      <c r="K15" s="227"/>
    </row>
    <row r="16" customFormat="false" ht="42" hidden="false" customHeight="true" outlineLevel="0" collapsed="false">
      <c r="B16" s="224" t="s">
        <v>203</v>
      </c>
      <c r="C16" s="224" t="n">
        <v>37370</v>
      </c>
      <c r="D16" s="224" t="s">
        <v>252</v>
      </c>
      <c r="E16" s="224" t="s">
        <v>211</v>
      </c>
      <c r="F16" s="224" t="s">
        <v>168</v>
      </c>
      <c r="G16" s="176" t="n">
        <v>0.01</v>
      </c>
      <c r="H16" s="225" t="n">
        <v>1</v>
      </c>
      <c r="I16" s="226" t="n">
        <f aca="false">G16*H16</f>
        <v>0.01</v>
      </c>
      <c r="J16" s="227"/>
      <c r="K16" s="227"/>
    </row>
    <row r="17" customFormat="false" ht="27.75" hidden="false" customHeight="true" outlineLevel="0" collapsed="false">
      <c r="B17" s="224" t="s">
        <v>203</v>
      </c>
      <c r="C17" s="224" t="n">
        <v>37371</v>
      </c>
      <c r="D17" s="224" t="s">
        <v>253</v>
      </c>
      <c r="E17" s="224" t="s">
        <v>254</v>
      </c>
      <c r="F17" s="224" t="s">
        <v>168</v>
      </c>
      <c r="G17" s="176" t="n">
        <v>0.55</v>
      </c>
      <c r="H17" s="225" t="n">
        <v>1</v>
      </c>
      <c r="I17" s="226" t="n">
        <f aca="false">G17*H17</f>
        <v>0.55</v>
      </c>
      <c r="J17" s="227"/>
      <c r="K17" s="227"/>
    </row>
    <row r="18" customFormat="false" ht="42" hidden="false" customHeight="true" outlineLevel="0" collapsed="false">
      <c r="B18" s="224" t="s">
        <v>203</v>
      </c>
      <c r="C18" s="224" t="n">
        <v>37372</v>
      </c>
      <c r="D18" s="224" t="s">
        <v>210</v>
      </c>
      <c r="E18" s="224" t="s">
        <v>211</v>
      </c>
      <c r="F18" s="224" t="s">
        <v>168</v>
      </c>
      <c r="G18" s="176" t="n">
        <v>1.14</v>
      </c>
      <c r="H18" s="225" t="n">
        <v>1</v>
      </c>
      <c r="I18" s="226" t="n">
        <f aca="false">G18*H18</f>
        <v>1.14</v>
      </c>
      <c r="J18" s="227"/>
      <c r="K18" s="227"/>
    </row>
    <row r="19" customFormat="false" ht="27.75" hidden="false" customHeight="true" outlineLevel="0" collapsed="false">
      <c r="B19" s="224" t="s">
        <v>203</v>
      </c>
      <c r="C19" s="224" t="n">
        <v>37373</v>
      </c>
      <c r="D19" s="224" t="s">
        <v>214</v>
      </c>
      <c r="E19" s="224" t="s">
        <v>215</v>
      </c>
      <c r="F19" s="224" t="s">
        <v>168</v>
      </c>
      <c r="G19" s="176" t="n">
        <v>0.07</v>
      </c>
      <c r="H19" s="225" t="n">
        <v>1</v>
      </c>
      <c r="I19" s="226" t="n">
        <f aca="false">G19*H19</f>
        <v>0.07</v>
      </c>
      <c r="J19" s="227"/>
      <c r="K19" s="227"/>
    </row>
    <row r="20" customFormat="false" ht="27.75" hidden="false" customHeight="true" outlineLevel="0" collapsed="false">
      <c r="B20" s="224" t="s">
        <v>203</v>
      </c>
      <c r="C20" s="224" t="n">
        <v>43460</v>
      </c>
      <c r="D20" s="224" t="s">
        <v>255</v>
      </c>
      <c r="E20" s="224" t="s">
        <v>219</v>
      </c>
      <c r="F20" s="224" t="s">
        <v>168</v>
      </c>
      <c r="G20" s="176" t="n">
        <v>0.86</v>
      </c>
      <c r="H20" s="225" t="n">
        <v>1</v>
      </c>
      <c r="I20" s="226" t="n">
        <f aca="false">G20*H20</f>
        <v>0.86</v>
      </c>
      <c r="J20" s="227"/>
      <c r="K20" s="227"/>
    </row>
    <row r="21" customFormat="false" ht="29.25" hidden="false" customHeight="true" outlineLevel="0" collapsed="false">
      <c r="B21" s="228" t="s">
        <v>203</v>
      </c>
      <c r="C21" s="228" t="n">
        <v>43461</v>
      </c>
      <c r="D21" s="228" t="s">
        <v>256</v>
      </c>
      <c r="E21" s="228" t="s">
        <v>219</v>
      </c>
      <c r="F21" s="228" t="s">
        <v>168</v>
      </c>
      <c r="G21" s="229" t="n">
        <v>0.32</v>
      </c>
      <c r="H21" s="230" t="n">
        <v>1</v>
      </c>
      <c r="I21" s="231" t="n">
        <f aca="false">G21*H21</f>
        <v>0.32</v>
      </c>
      <c r="J21" s="227"/>
      <c r="K21" s="227"/>
    </row>
    <row r="22" customFormat="false" ht="27.75" hidden="false" customHeight="true" outlineLevel="0" collapsed="false">
      <c r="B22" s="224" t="s">
        <v>203</v>
      </c>
      <c r="C22" s="224" t="n">
        <v>43484</v>
      </c>
      <c r="D22" s="224" t="s">
        <v>257</v>
      </c>
      <c r="E22" s="224" t="s">
        <v>219</v>
      </c>
      <c r="F22" s="224" t="s">
        <v>168</v>
      </c>
      <c r="G22" s="176" t="n">
        <v>1.14</v>
      </c>
      <c r="H22" s="225" t="n">
        <v>1</v>
      </c>
      <c r="I22" s="226" t="n">
        <f aca="false">G22*H22</f>
        <v>1.14</v>
      </c>
      <c r="J22" s="227"/>
      <c r="K22" s="227"/>
    </row>
  </sheetData>
  <mergeCells count="16">
    <mergeCell ref="B2:I2"/>
    <mergeCell ref="B4:I4"/>
    <mergeCell ref="B5:C5"/>
    <mergeCell ref="D5:I5"/>
    <mergeCell ref="B6:C6"/>
    <mergeCell ref="D6:I6"/>
    <mergeCell ref="B7:C7"/>
    <mergeCell ref="D7:I7"/>
    <mergeCell ref="B8:C8"/>
    <mergeCell ref="D8:I8"/>
    <mergeCell ref="B9:C9"/>
    <mergeCell ref="D9:I9"/>
    <mergeCell ref="B10:C10"/>
    <mergeCell ref="D10:I10"/>
    <mergeCell ref="B11:C11"/>
    <mergeCell ref="D11:I11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Roman,Normal"&amp;12&amp;Kffffff&amp;A</oddHeader>
    <oddFooter>&amp;C&amp;"Times New Roman,Normal"&amp;12&amp;KffffffPágina 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FFFFFF"/>
    <pageSetUpPr fitToPage="false"/>
  </sheetPr>
  <dimension ref="B1:K22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8.125" defaultRowHeight="12.75" zeroHeight="false" outlineLevelRow="0" outlineLevelCol="0"/>
  <cols>
    <col collapsed="false" customWidth="true" hidden="false" outlineLevel="0" max="1" min="1" style="213" width="5.62"/>
    <col collapsed="false" customWidth="true" hidden="false" outlineLevel="0" max="2" min="2" style="213" width="2.88"/>
    <col collapsed="false" customWidth="true" hidden="false" outlineLevel="0" max="3" min="3" style="213" width="11.75"/>
    <col collapsed="false" customWidth="true" hidden="false" outlineLevel="0" max="4" min="4" style="213" width="57.75"/>
    <col collapsed="false" customWidth="true" hidden="false" outlineLevel="0" max="5" min="5" style="213" width="28.88"/>
    <col collapsed="false" customWidth="true" hidden="false" outlineLevel="0" max="6" min="6" style="213" width="9.62"/>
    <col collapsed="false" customWidth="true" hidden="false" outlineLevel="0" max="7" min="7" style="213" width="13.25"/>
    <col collapsed="false" customWidth="true" hidden="false" outlineLevel="0" max="8" min="8" style="213" width="11.5"/>
    <col collapsed="false" customWidth="true" hidden="false" outlineLevel="0" max="9" min="9" style="213" width="13.5"/>
    <col collapsed="false" customWidth="true" hidden="false" outlineLevel="0" max="1026" min="10" style="213" width="8.25"/>
  </cols>
  <sheetData>
    <row r="1" customFormat="false" ht="15" hidden="false" customHeight="true" outlineLevel="0" collapsed="false"/>
    <row r="2" customFormat="false" ht="24.75" hidden="false" customHeight="true" outlineLevel="0" collapsed="false">
      <c r="B2" s="214" t="s">
        <v>246</v>
      </c>
      <c r="C2" s="214"/>
      <c r="D2" s="214"/>
      <c r="E2" s="214"/>
      <c r="F2" s="214"/>
      <c r="G2" s="214"/>
      <c r="H2" s="214"/>
      <c r="I2" s="214"/>
    </row>
    <row r="3" customFormat="false" ht="21" hidden="false" customHeight="true" outlineLevel="0" collapsed="false"/>
    <row r="4" customFormat="false" ht="16.5" hidden="false" customHeight="true" outlineLevel="0" collapsed="false">
      <c r="B4" s="215" t="s">
        <v>247</v>
      </c>
      <c r="C4" s="215"/>
      <c r="D4" s="215"/>
      <c r="E4" s="215"/>
      <c r="F4" s="215"/>
      <c r="G4" s="215"/>
      <c r="H4" s="215"/>
      <c r="I4" s="215"/>
    </row>
    <row r="5" customFormat="false" ht="16.5" hidden="false" customHeight="true" outlineLevel="0" collapsed="false">
      <c r="B5" s="216" t="s">
        <v>153</v>
      </c>
      <c r="C5" s="216"/>
      <c r="D5" s="217" t="n">
        <v>88264</v>
      </c>
      <c r="E5" s="217"/>
      <c r="F5" s="217"/>
      <c r="G5" s="217"/>
      <c r="H5" s="217"/>
      <c r="I5" s="217"/>
    </row>
    <row r="6" customFormat="false" ht="16.5" hidden="false" customHeight="true" outlineLevel="0" collapsed="false">
      <c r="B6" s="216" t="s">
        <v>123</v>
      </c>
      <c r="C6" s="216"/>
      <c r="D6" s="217" t="s">
        <v>248</v>
      </c>
      <c r="E6" s="217"/>
      <c r="F6" s="217"/>
      <c r="G6" s="217"/>
      <c r="H6" s="217"/>
      <c r="I6" s="217"/>
    </row>
    <row r="7" customFormat="false" ht="16.5" hidden="false" customHeight="true" outlineLevel="0" collapsed="false">
      <c r="B7" s="216" t="s">
        <v>156</v>
      </c>
      <c r="C7" s="216"/>
      <c r="D7" s="218" t="s">
        <v>157</v>
      </c>
      <c r="E7" s="218"/>
      <c r="F7" s="218"/>
      <c r="G7" s="218"/>
      <c r="H7" s="218"/>
      <c r="I7" s="218"/>
    </row>
    <row r="8" customFormat="false" ht="16.5" hidden="false" customHeight="true" outlineLevel="0" collapsed="false">
      <c r="B8" s="216" t="s">
        <v>158</v>
      </c>
      <c r="C8" s="216"/>
      <c r="D8" s="217" t="s">
        <v>242</v>
      </c>
      <c r="E8" s="217"/>
      <c r="F8" s="217"/>
      <c r="G8" s="217"/>
      <c r="H8" s="217"/>
      <c r="I8" s="217"/>
    </row>
    <row r="9" customFormat="false" ht="16.5" hidden="false" customHeight="true" outlineLevel="0" collapsed="false">
      <c r="B9" s="216" t="s">
        <v>160</v>
      </c>
      <c r="C9" s="216"/>
      <c r="D9" s="217" t="s">
        <v>201</v>
      </c>
      <c r="E9" s="217"/>
      <c r="F9" s="217"/>
      <c r="G9" s="217"/>
      <c r="H9" s="217"/>
      <c r="I9" s="217"/>
    </row>
    <row r="10" customFormat="false" ht="16.5" hidden="false" customHeight="true" outlineLevel="0" collapsed="false">
      <c r="B10" s="216" t="s">
        <v>124</v>
      </c>
      <c r="C10" s="216"/>
      <c r="D10" s="217" t="s">
        <v>168</v>
      </c>
      <c r="E10" s="217"/>
      <c r="F10" s="217"/>
      <c r="G10" s="217"/>
      <c r="H10" s="217"/>
      <c r="I10" s="217"/>
    </row>
    <row r="11" customFormat="false" ht="23.25" hidden="false" customHeight="true" outlineLevel="0" collapsed="false">
      <c r="B11" s="219" t="s">
        <v>162</v>
      </c>
      <c r="C11" s="219"/>
      <c r="D11" s="220" t="n">
        <f aca="false">SUM(I14:I22)</f>
        <v>34.79</v>
      </c>
      <c r="E11" s="220"/>
      <c r="F11" s="220"/>
      <c r="G11" s="220"/>
      <c r="H11" s="220"/>
      <c r="I11" s="220"/>
    </row>
    <row r="12" customFormat="false" ht="15.75" hidden="false" customHeight="true" outlineLevel="0" collapsed="false">
      <c r="B12" s="221"/>
      <c r="C12" s="221"/>
      <c r="D12" s="222"/>
      <c r="E12" s="222"/>
      <c r="F12" s="222"/>
      <c r="G12" s="222"/>
      <c r="H12" s="222"/>
      <c r="I12" s="222"/>
    </row>
    <row r="13" customFormat="false" ht="39.5" hidden="false" customHeight="false" outlineLevel="0" collapsed="false">
      <c r="B13" s="223"/>
      <c r="C13" s="223" t="s">
        <v>163</v>
      </c>
      <c r="D13" s="223" t="s">
        <v>123</v>
      </c>
      <c r="E13" s="223" t="s">
        <v>160</v>
      </c>
      <c r="F13" s="223" t="s">
        <v>124</v>
      </c>
      <c r="G13" s="223" t="s">
        <v>202</v>
      </c>
      <c r="H13" s="223" t="s">
        <v>164</v>
      </c>
      <c r="I13" s="223" t="s">
        <v>162</v>
      </c>
    </row>
    <row r="14" customFormat="false" ht="27.75" hidden="false" customHeight="true" outlineLevel="0" collapsed="false">
      <c r="B14" s="224" t="s">
        <v>165</v>
      </c>
      <c r="C14" s="224" t="n">
        <v>95332</v>
      </c>
      <c r="D14" s="224" t="s">
        <v>249</v>
      </c>
      <c r="E14" s="224" t="s">
        <v>201</v>
      </c>
      <c r="F14" s="224" t="s">
        <v>168</v>
      </c>
      <c r="G14" s="176" t="n">
        <v>1</v>
      </c>
      <c r="H14" s="225" t="n">
        <v>1</v>
      </c>
      <c r="I14" s="226" t="n">
        <f aca="false">G14*H14</f>
        <v>1</v>
      </c>
      <c r="J14" s="227"/>
      <c r="K14" s="227"/>
    </row>
    <row r="15" customFormat="false" ht="32.25" hidden="false" customHeight="true" outlineLevel="0" collapsed="false">
      <c r="B15" s="224" t="s">
        <v>203</v>
      </c>
      <c r="C15" s="224" t="s">
        <v>250</v>
      </c>
      <c r="D15" s="224" t="s">
        <v>251</v>
      </c>
      <c r="E15" s="224" t="s">
        <v>208</v>
      </c>
      <c r="F15" s="224" t="s">
        <v>168</v>
      </c>
      <c r="G15" s="176" t="n">
        <v>25.61</v>
      </c>
      <c r="H15" s="225" t="n">
        <v>1</v>
      </c>
      <c r="I15" s="226" t="n">
        <f aca="false">G15*H15</f>
        <v>25.61</v>
      </c>
      <c r="J15" s="227"/>
      <c r="K15" s="227"/>
    </row>
    <row r="16" customFormat="false" ht="42" hidden="false" customHeight="true" outlineLevel="0" collapsed="false">
      <c r="B16" s="224" t="s">
        <v>203</v>
      </c>
      <c r="C16" s="224" t="n">
        <v>37370</v>
      </c>
      <c r="D16" s="224" t="s">
        <v>252</v>
      </c>
      <c r="E16" s="224" t="s">
        <v>211</v>
      </c>
      <c r="F16" s="224" t="s">
        <v>168</v>
      </c>
      <c r="G16" s="176" t="n">
        <v>3.79</v>
      </c>
      <c r="H16" s="225" t="n">
        <v>1</v>
      </c>
      <c r="I16" s="226" t="n">
        <f aca="false">G16*H16</f>
        <v>3.79</v>
      </c>
      <c r="J16" s="227"/>
      <c r="K16" s="227"/>
    </row>
    <row r="17" customFormat="false" ht="27.75" hidden="false" customHeight="true" outlineLevel="0" collapsed="false">
      <c r="B17" s="224" t="s">
        <v>203</v>
      </c>
      <c r="C17" s="224" t="n">
        <v>37371</v>
      </c>
      <c r="D17" s="224" t="s">
        <v>253</v>
      </c>
      <c r="E17" s="224" t="s">
        <v>254</v>
      </c>
      <c r="F17" s="224" t="s">
        <v>168</v>
      </c>
      <c r="G17" s="176" t="n">
        <v>0.86</v>
      </c>
      <c r="H17" s="225" t="n">
        <v>1</v>
      </c>
      <c r="I17" s="226" t="n">
        <f aca="false">G17*H17</f>
        <v>0.86</v>
      </c>
      <c r="J17" s="227"/>
      <c r="K17" s="227"/>
    </row>
    <row r="18" customFormat="false" ht="42" hidden="false" customHeight="true" outlineLevel="0" collapsed="false">
      <c r="B18" s="224" t="s">
        <v>203</v>
      </c>
      <c r="C18" s="224" t="n">
        <v>37372</v>
      </c>
      <c r="D18" s="224" t="s">
        <v>210</v>
      </c>
      <c r="E18" s="224" t="s">
        <v>211</v>
      </c>
      <c r="F18" s="224" t="s">
        <v>168</v>
      </c>
      <c r="G18" s="176" t="n">
        <v>1.14</v>
      </c>
      <c r="H18" s="225" t="n">
        <v>1</v>
      </c>
      <c r="I18" s="226" t="n">
        <f aca="false">G18*H18</f>
        <v>1.14</v>
      </c>
      <c r="J18" s="227"/>
      <c r="K18" s="227"/>
    </row>
    <row r="19" customFormat="false" ht="27.75" hidden="false" customHeight="true" outlineLevel="0" collapsed="false">
      <c r="B19" s="224" t="s">
        <v>203</v>
      </c>
      <c r="C19" s="224" t="n">
        <v>37373</v>
      </c>
      <c r="D19" s="224" t="s">
        <v>214</v>
      </c>
      <c r="E19" s="224" t="s">
        <v>215</v>
      </c>
      <c r="F19" s="224" t="s">
        <v>168</v>
      </c>
      <c r="G19" s="176" t="n">
        <v>0.07</v>
      </c>
      <c r="H19" s="225" t="n">
        <v>1</v>
      </c>
      <c r="I19" s="226" t="n">
        <f aca="false">G19*H19</f>
        <v>0.07</v>
      </c>
      <c r="J19" s="227"/>
      <c r="K19" s="227"/>
    </row>
    <row r="20" customFormat="false" ht="27.75" hidden="false" customHeight="true" outlineLevel="0" collapsed="false">
      <c r="B20" s="224" t="s">
        <v>203</v>
      </c>
      <c r="C20" s="224" t="n">
        <v>43460</v>
      </c>
      <c r="D20" s="224" t="s">
        <v>255</v>
      </c>
      <c r="E20" s="224" t="s">
        <v>219</v>
      </c>
      <c r="F20" s="224" t="s">
        <v>168</v>
      </c>
      <c r="G20" s="176" t="n">
        <v>0.86</v>
      </c>
      <c r="H20" s="225" t="n">
        <v>1</v>
      </c>
      <c r="I20" s="226" t="n">
        <f aca="false">G20*H20</f>
        <v>0.86</v>
      </c>
      <c r="J20" s="227"/>
      <c r="K20" s="227"/>
    </row>
    <row r="21" customFormat="false" ht="29.25" hidden="false" customHeight="true" outlineLevel="0" collapsed="false">
      <c r="B21" s="228" t="s">
        <v>203</v>
      </c>
      <c r="C21" s="228" t="n">
        <v>43461</v>
      </c>
      <c r="D21" s="228" t="s">
        <v>256</v>
      </c>
      <c r="E21" s="228" t="s">
        <v>219</v>
      </c>
      <c r="F21" s="228" t="s">
        <v>168</v>
      </c>
      <c r="G21" s="229" t="n">
        <v>0.32</v>
      </c>
      <c r="H21" s="230" t="n">
        <v>1</v>
      </c>
      <c r="I21" s="231" t="n">
        <f aca="false">G21*H21</f>
        <v>0.32</v>
      </c>
      <c r="J21" s="227"/>
      <c r="K21" s="227"/>
    </row>
    <row r="22" customFormat="false" ht="27.75" hidden="false" customHeight="true" outlineLevel="0" collapsed="false">
      <c r="B22" s="224" t="s">
        <v>203</v>
      </c>
      <c r="C22" s="224" t="n">
        <v>43484</v>
      </c>
      <c r="D22" s="224" t="s">
        <v>257</v>
      </c>
      <c r="E22" s="224" t="s">
        <v>219</v>
      </c>
      <c r="F22" s="224" t="s">
        <v>168</v>
      </c>
      <c r="G22" s="176" t="n">
        <v>1.14</v>
      </c>
      <c r="H22" s="225" t="n">
        <v>1</v>
      </c>
      <c r="I22" s="226" t="n">
        <f aca="false">G22*H22</f>
        <v>1.14</v>
      </c>
      <c r="J22" s="227"/>
      <c r="K22" s="227"/>
    </row>
  </sheetData>
  <mergeCells count="16">
    <mergeCell ref="B2:I2"/>
    <mergeCell ref="B4:I4"/>
    <mergeCell ref="B5:C5"/>
    <mergeCell ref="D5:I5"/>
    <mergeCell ref="B6:C6"/>
    <mergeCell ref="D6:I6"/>
    <mergeCell ref="B7:C7"/>
    <mergeCell ref="D7:I7"/>
    <mergeCell ref="B8:C8"/>
    <mergeCell ref="D8:I8"/>
    <mergeCell ref="B9:C9"/>
    <mergeCell ref="D9:I9"/>
    <mergeCell ref="B10:C10"/>
    <mergeCell ref="D10:I10"/>
    <mergeCell ref="B11:C11"/>
    <mergeCell ref="D11:I11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Roman,Normal"&amp;12&amp;Kffffff&amp;A</oddHeader>
    <oddFooter>&amp;C&amp;"Times New Roman,Normal"&amp;12&amp;KffffffPágina 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FFFFFF"/>
    <pageSetUpPr fitToPage="false"/>
  </sheetPr>
  <dimension ref="B1:N28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8.41015625" defaultRowHeight="14.25" zeroHeight="false" outlineLevelRow="0" outlineLevelCol="0"/>
  <cols>
    <col collapsed="false" customWidth="true" hidden="false" outlineLevel="0" max="1" min="1" style="1" width="5.62"/>
    <col collapsed="false" customWidth="true" hidden="false" outlineLevel="0" max="2" min="2" style="16" width="15.5"/>
    <col collapsed="false" customWidth="true" hidden="false" outlineLevel="0" max="3" min="3" style="17" width="16.26"/>
    <col collapsed="false" customWidth="true" hidden="false" outlineLevel="0" max="4" min="4" style="16" width="31.88"/>
    <col collapsed="false" customWidth="true" hidden="false" outlineLevel="0" max="5" min="5" style="16" width="36.88"/>
    <col collapsed="false" customWidth="true" hidden="false" outlineLevel="0" max="6" min="6" style="17" width="15.26"/>
    <col collapsed="false" customWidth="true" hidden="false" outlineLevel="0" max="7" min="7" style="16" width="9"/>
    <col collapsed="false" customWidth="true" hidden="false" outlineLevel="0" max="8" min="8" style="16" width="9.12"/>
    <col collapsed="false" customWidth="true" hidden="false" outlineLevel="0" max="9" min="9" style="16" width="12"/>
    <col collapsed="false" customWidth="true" hidden="false" outlineLevel="0" max="11" min="10" style="16" width="11.25"/>
    <col collapsed="false" customWidth="true" hidden="false" outlineLevel="0" max="12" min="12" style="16" width="10.38"/>
    <col collapsed="false" customWidth="true" hidden="false" outlineLevel="0" max="13" min="13" style="16" width="10.5"/>
    <col collapsed="false" customWidth="true" hidden="false" outlineLevel="0" max="14" min="14" style="16" width="12.5"/>
    <col collapsed="false" customWidth="true" hidden="false" outlineLevel="0" max="259" min="15" style="16" width="10.5"/>
    <col collapsed="false" customWidth="true" hidden="false" outlineLevel="0" max="1024" min="260" style="1" width="10.38"/>
  </cols>
  <sheetData>
    <row r="1" customFormat="false" ht="15" hidden="false" customHeight="true" outlineLevel="0" collapsed="false"/>
    <row r="2" s="232" customFormat="true" ht="29.25" hidden="false" customHeight="true" outlineLevel="0" collapsed="false">
      <c r="B2" s="233" t="str">
        <f aca="false">"RELAÇÃO DE UNIDADES DO "&amp;'Valor da Contratação'!B7&amp;""</f>
        <v>RELAÇÃO DE UNIDADES DO POLO VI</v>
      </c>
      <c r="C2" s="233"/>
      <c r="D2" s="233"/>
      <c r="E2" s="233"/>
      <c r="F2" s="233"/>
      <c r="G2" s="233"/>
      <c r="H2" s="233"/>
      <c r="I2" s="233"/>
      <c r="J2" s="233"/>
      <c r="K2" s="233"/>
      <c r="L2" s="233"/>
      <c r="M2" s="233"/>
      <c r="N2" s="233"/>
    </row>
    <row r="3" s="16" customFormat="true" ht="15" hidden="false" customHeight="true" outlineLevel="0" collapsed="false"/>
    <row r="4" customFormat="false" ht="66.75" hidden="false" customHeight="true" outlineLevel="0" collapsed="false">
      <c r="B4" s="32" t="s">
        <v>258</v>
      </c>
      <c r="C4" s="32" t="s">
        <v>13</v>
      </c>
      <c r="D4" s="32" t="s">
        <v>41</v>
      </c>
      <c r="E4" s="32" t="s">
        <v>259</v>
      </c>
      <c r="F4" s="32" t="s">
        <v>260</v>
      </c>
      <c r="G4" s="32" t="s">
        <v>261</v>
      </c>
      <c r="H4" s="32" t="s">
        <v>71</v>
      </c>
      <c r="I4" s="32" t="s">
        <v>262</v>
      </c>
      <c r="J4" s="32" t="s">
        <v>263</v>
      </c>
      <c r="K4" s="32" t="s">
        <v>264</v>
      </c>
      <c r="L4" s="32" t="s">
        <v>265</v>
      </c>
      <c r="M4" s="32" t="s">
        <v>266</v>
      </c>
      <c r="N4" s="32" t="s">
        <v>267</v>
      </c>
    </row>
    <row r="5" customFormat="false" ht="18" hidden="false" customHeight="true" outlineLevel="0" collapsed="false">
      <c r="B5" s="234" t="s">
        <v>268</v>
      </c>
      <c r="C5" s="234" t="s">
        <v>22</v>
      </c>
      <c r="D5" s="235" t="s">
        <v>139</v>
      </c>
      <c r="E5" s="236" t="s">
        <v>269</v>
      </c>
      <c r="F5" s="65" t="n">
        <f aca="false">31*2/60</f>
        <v>1.03333333333333</v>
      </c>
      <c r="G5" s="237" t="n">
        <v>0.05</v>
      </c>
      <c r="H5" s="237" t="n">
        <f aca="false">HLOOKUP(G5,BDI!$C$19:$J$30,12,)</f>
        <v>0.2624</v>
      </c>
      <c r="I5" s="238" t="n">
        <v>334.4</v>
      </c>
      <c r="J5" s="238" t="n">
        <v>296</v>
      </c>
      <c r="K5" s="238" t="n">
        <v>38.4</v>
      </c>
      <c r="L5" s="238" t="n">
        <v>0</v>
      </c>
      <c r="M5" s="238" t="s">
        <v>270</v>
      </c>
      <c r="N5" s="238" t="s">
        <v>270</v>
      </c>
    </row>
    <row r="6" customFormat="false" ht="18" hidden="false" customHeight="true" outlineLevel="0" collapsed="false">
      <c r="B6" s="234" t="s">
        <v>268</v>
      </c>
      <c r="C6" s="234" t="s">
        <v>22</v>
      </c>
      <c r="D6" s="235" t="s">
        <v>140</v>
      </c>
      <c r="E6" s="236" t="s">
        <v>271</v>
      </c>
      <c r="F6" s="65" t="n">
        <f aca="false">76*2/60</f>
        <v>2.53333333333333</v>
      </c>
      <c r="G6" s="237" t="n">
        <v>0.03</v>
      </c>
      <c r="H6" s="237" t="n">
        <f aca="false">HLOOKUP(G6,BDI!$C$19:$J$30,12,)</f>
        <v>0.2354</v>
      </c>
      <c r="I6" s="238" t="n">
        <v>170</v>
      </c>
      <c r="J6" s="238" t="n">
        <v>144.38</v>
      </c>
      <c r="K6" s="238" t="n">
        <v>25.62</v>
      </c>
      <c r="L6" s="238" t="n">
        <v>0</v>
      </c>
      <c r="M6" s="238" t="s">
        <v>270</v>
      </c>
      <c r="N6" s="238" t="s">
        <v>270</v>
      </c>
    </row>
    <row r="7" customFormat="false" ht="18" hidden="false" customHeight="true" outlineLevel="0" collapsed="false">
      <c r="B7" s="234" t="s">
        <v>268</v>
      </c>
      <c r="C7" s="234" t="s">
        <v>22</v>
      </c>
      <c r="D7" s="235" t="s">
        <v>141</v>
      </c>
      <c r="E7" s="239" t="s">
        <v>272</v>
      </c>
      <c r="F7" s="65" t="n">
        <v>1.95</v>
      </c>
      <c r="G7" s="237" t="n">
        <v>0.05</v>
      </c>
      <c r="H7" s="237" t="n">
        <f aca="false">HLOOKUP(G7,BDI!$C$19:$J$30,12,)</f>
        <v>0.2624</v>
      </c>
      <c r="I7" s="238" t="n">
        <v>2008</v>
      </c>
      <c r="J7" s="238" t="n">
        <v>1336.84</v>
      </c>
      <c r="K7" s="238" t="n">
        <v>589.62</v>
      </c>
      <c r="L7" s="238" t="n">
        <v>81.54</v>
      </c>
      <c r="M7" s="238" t="s">
        <v>273</v>
      </c>
      <c r="N7" s="238" t="s">
        <v>273</v>
      </c>
    </row>
    <row r="8" customFormat="false" ht="18" hidden="false" customHeight="true" outlineLevel="0" collapsed="false">
      <c r="B8" s="234" t="s">
        <v>268</v>
      </c>
      <c r="C8" s="234" t="s">
        <v>22</v>
      </c>
      <c r="D8" s="235" t="s">
        <v>142</v>
      </c>
      <c r="E8" s="239" t="s">
        <v>274</v>
      </c>
      <c r="F8" s="65" t="n">
        <f aca="false">70*2/60</f>
        <v>2.33333333333333</v>
      </c>
      <c r="G8" s="237" t="n">
        <v>0.03</v>
      </c>
      <c r="H8" s="237" t="n">
        <f aca="false">HLOOKUP(G8,BDI!$C$19:$J$30,12,)</f>
        <v>0.2354</v>
      </c>
      <c r="I8" s="238" t="n">
        <v>225.98</v>
      </c>
      <c r="J8" s="238" t="n">
        <v>176.31</v>
      </c>
      <c r="K8" s="238" t="n">
        <v>43.59</v>
      </c>
      <c r="L8" s="238" t="n">
        <v>6.08</v>
      </c>
      <c r="M8" s="238" t="s">
        <v>270</v>
      </c>
      <c r="N8" s="238" t="s">
        <v>270</v>
      </c>
    </row>
    <row r="9" customFormat="false" ht="18" hidden="false" customHeight="true" outlineLevel="0" collapsed="false">
      <c r="B9" s="234" t="s">
        <v>268</v>
      </c>
      <c r="C9" s="234" t="s">
        <v>22</v>
      </c>
      <c r="D9" s="235" t="s">
        <v>143</v>
      </c>
      <c r="E9" s="236" t="s">
        <v>275</v>
      </c>
      <c r="F9" s="65" t="n">
        <f aca="false">165/60</f>
        <v>2.75</v>
      </c>
      <c r="G9" s="237" t="n">
        <v>0.03</v>
      </c>
      <c r="H9" s="237" t="n">
        <f aca="false">HLOOKUP(G9,BDI!$C$19:$J$30,12,)</f>
        <v>0.2354</v>
      </c>
      <c r="I9" s="238" t="n">
        <v>344.88</v>
      </c>
      <c r="J9" s="238" t="n">
        <v>297.31</v>
      </c>
      <c r="K9" s="238" t="n">
        <v>47.57</v>
      </c>
      <c r="L9" s="238" t="n">
        <v>0</v>
      </c>
      <c r="M9" s="238" t="s">
        <v>270</v>
      </c>
      <c r="N9" s="238" t="s">
        <v>270</v>
      </c>
    </row>
    <row r="10" customFormat="false" ht="18" hidden="false" customHeight="true" outlineLevel="0" collapsed="false">
      <c r="B10" s="234" t="s">
        <v>268</v>
      </c>
      <c r="C10" s="234" t="s">
        <v>22</v>
      </c>
      <c r="D10" s="235" t="s">
        <v>144</v>
      </c>
      <c r="E10" s="236" t="s">
        <v>276</v>
      </c>
      <c r="F10" s="65" t="n">
        <v>0</v>
      </c>
      <c r="G10" s="237" t="n">
        <v>0.02</v>
      </c>
      <c r="H10" s="237" t="n">
        <f aca="false">HLOOKUP(G10,BDI!$C$19:$J$30,12,)</f>
        <v>0.2223</v>
      </c>
      <c r="I10" s="238" t="n">
        <v>2008</v>
      </c>
      <c r="J10" s="238" t="n">
        <v>1400.93</v>
      </c>
      <c r="K10" s="238" t="n">
        <v>459.75</v>
      </c>
      <c r="L10" s="238" t="n">
        <v>147.32</v>
      </c>
      <c r="M10" s="238" t="s">
        <v>273</v>
      </c>
      <c r="N10" s="238" t="s">
        <v>270</v>
      </c>
    </row>
    <row r="11" customFormat="false" ht="18" hidden="false" customHeight="true" outlineLevel="0" collapsed="false">
      <c r="B11" s="234" t="s">
        <v>268</v>
      </c>
      <c r="C11" s="234" t="s">
        <v>22</v>
      </c>
      <c r="D11" s="235" t="s">
        <v>145</v>
      </c>
      <c r="E11" s="236" t="s">
        <v>277</v>
      </c>
      <c r="F11" s="65" t="n">
        <f aca="false">113*2/60</f>
        <v>3.76666666666667</v>
      </c>
      <c r="G11" s="237" t="n">
        <v>0.03</v>
      </c>
      <c r="H11" s="237" t="n">
        <f aca="false">HLOOKUP(G11,BDI!$C$19:$J$30,12,)</f>
        <v>0.2354</v>
      </c>
      <c r="I11" s="238" t="n">
        <v>549</v>
      </c>
      <c r="J11" s="238" t="n">
        <v>314.44</v>
      </c>
      <c r="K11" s="238" t="n">
        <v>18.27</v>
      </c>
      <c r="L11" s="238" t="n">
        <v>216.29</v>
      </c>
      <c r="M11" s="238" t="s">
        <v>270</v>
      </c>
      <c r="N11" s="238" t="s">
        <v>270</v>
      </c>
    </row>
    <row r="12" customFormat="false" ht="18" hidden="false" customHeight="true" outlineLevel="0" collapsed="false">
      <c r="B12" s="234" t="s">
        <v>268</v>
      </c>
      <c r="C12" s="234" t="s">
        <v>22</v>
      </c>
      <c r="D12" s="235" t="s">
        <v>146</v>
      </c>
      <c r="E12" s="236" t="s">
        <v>278</v>
      </c>
      <c r="F12" s="65" t="n">
        <f aca="false">139*2/60</f>
        <v>4.63333333333333</v>
      </c>
      <c r="G12" s="237" t="n">
        <v>0.03</v>
      </c>
      <c r="H12" s="237" t="n">
        <f aca="false">HLOOKUP(G12,BDI!$C$19:$J$30,12,)</f>
        <v>0.2354</v>
      </c>
      <c r="I12" s="238" t="n">
        <v>373.64</v>
      </c>
      <c r="J12" s="238" t="n">
        <v>293.1</v>
      </c>
      <c r="K12" s="238" t="n">
        <v>80.54</v>
      </c>
      <c r="L12" s="238" t="n">
        <v>0</v>
      </c>
      <c r="M12" s="238" t="s">
        <v>270</v>
      </c>
      <c r="N12" s="238" t="s">
        <v>270</v>
      </c>
    </row>
    <row r="13" customFormat="false" ht="18" hidden="false" customHeight="true" outlineLevel="0" collapsed="false">
      <c r="B13" s="234" t="s">
        <v>21</v>
      </c>
      <c r="C13" s="234" t="s">
        <v>21</v>
      </c>
      <c r="D13" s="235" t="s">
        <v>81</v>
      </c>
      <c r="E13" s="236" t="s">
        <v>279</v>
      </c>
      <c r="F13" s="65" t="n">
        <f aca="false">406/60</f>
        <v>6.76666666666667</v>
      </c>
      <c r="G13" s="237" t="n">
        <v>0.02</v>
      </c>
      <c r="H13" s="237" t="n">
        <f aca="false">HLOOKUP(G13,BDI!$C$19:$J$30,12,)</f>
        <v>0.2223</v>
      </c>
      <c r="I13" s="238" t="n">
        <v>1776</v>
      </c>
      <c r="J13" s="238" t="n">
        <v>657</v>
      </c>
      <c r="K13" s="238" t="n">
        <v>577</v>
      </c>
      <c r="L13" s="238" t="n">
        <v>542</v>
      </c>
      <c r="M13" s="238" t="s">
        <v>270</v>
      </c>
      <c r="N13" s="238" t="s">
        <v>273</v>
      </c>
    </row>
    <row r="14" customFormat="false" ht="18" hidden="false" customHeight="true" outlineLevel="0" collapsed="false">
      <c r="B14" s="234" t="s">
        <v>21</v>
      </c>
      <c r="C14" s="234" t="s">
        <v>21</v>
      </c>
      <c r="D14" s="235" t="s">
        <v>83</v>
      </c>
      <c r="E14" s="236" t="s">
        <v>280</v>
      </c>
      <c r="F14" s="65" t="n">
        <f aca="false">191*2/60</f>
        <v>6.36666666666667</v>
      </c>
      <c r="G14" s="237" t="n">
        <v>0.05</v>
      </c>
      <c r="H14" s="237" t="n">
        <f aca="false">HLOOKUP(G14,BDI!$C$19:$J$30,12,)</f>
        <v>0.2624</v>
      </c>
      <c r="I14" s="238" t="n">
        <v>1387</v>
      </c>
      <c r="J14" s="238" t="n">
        <v>679</v>
      </c>
      <c r="K14" s="238" t="n">
        <v>79</v>
      </c>
      <c r="L14" s="238" t="n">
        <v>629</v>
      </c>
      <c r="M14" s="238" t="s">
        <v>273</v>
      </c>
      <c r="N14" s="238" t="s">
        <v>273</v>
      </c>
    </row>
    <row r="15" customFormat="false" ht="18" hidden="false" customHeight="true" outlineLevel="0" collapsed="false">
      <c r="B15" s="234" t="s">
        <v>21</v>
      </c>
      <c r="C15" s="234" t="s">
        <v>21</v>
      </c>
      <c r="D15" s="235" t="s">
        <v>85</v>
      </c>
      <c r="E15" s="236" t="s">
        <v>281</v>
      </c>
      <c r="F15" s="65" t="n">
        <f aca="false">168*2/60</f>
        <v>5.6</v>
      </c>
      <c r="G15" s="237" t="n">
        <v>0.02</v>
      </c>
      <c r="H15" s="237" t="n">
        <f aca="false">HLOOKUP(G15,BDI!$C$19:$J$30,12,)</f>
        <v>0.2223</v>
      </c>
      <c r="I15" s="238" t="n">
        <v>1189</v>
      </c>
      <c r="J15" s="238" t="n">
        <v>472</v>
      </c>
      <c r="K15" s="238" t="n">
        <v>42</v>
      </c>
      <c r="L15" s="238" t="n">
        <v>675</v>
      </c>
      <c r="M15" s="238" t="s">
        <v>273</v>
      </c>
      <c r="N15" s="238" t="s">
        <v>273</v>
      </c>
    </row>
    <row r="16" customFormat="false" ht="18" hidden="false" customHeight="true" outlineLevel="0" collapsed="false">
      <c r="B16" s="234" t="s">
        <v>21</v>
      </c>
      <c r="C16" s="234" t="s">
        <v>21</v>
      </c>
      <c r="D16" s="235" t="s">
        <v>86</v>
      </c>
      <c r="E16" s="236" t="s">
        <v>282</v>
      </c>
      <c r="F16" s="65" t="n">
        <f aca="false">4/60</f>
        <v>0.0666666666666667</v>
      </c>
      <c r="G16" s="237" t="n">
        <v>0.02</v>
      </c>
      <c r="H16" s="237" t="n">
        <f aca="false">HLOOKUP(G16,BDI!$C$19:$J$30,12,)</f>
        <v>0.2223</v>
      </c>
      <c r="I16" s="238" t="n">
        <v>3007</v>
      </c>
      <c r="J16" s="238" t="n">
        <v>770</v>
      </c>
      <c r="K16" s="238" t="n">
        <v>817</v>
      </c>
      <c r="L16" s="238" t="n">
        <v>1420</v>
      </c>
      <c r="M16" s="238" t="s">
        <v>273</v>
      </c>
      <c r="N16" s="238" t="s">
        <v>273</v>
      </c>
    </row>
    <row r="17" customFormat="false" ht="18" hidden="false" customHeight="true" outlineLevel="0" collapsed="false">
      <c r="B17" s="234" t="s">
        <v>21</v>
      </c>
      <c r="C17" s="234" t="s">
        <v>21</v>
      </c>
      <c r="D17" s="235" t="s">
        <v>87</v>
      </c>
      <c r="E17" s="236" t="s">
        <v>283</v>
      </c>
      <c r="F17" s="65" t="n">
        <f aca="false">103*2/60</f>
        <v>3.43333333333333</v>
      </c>
      <c r="G17" s="237" t="n">
        <v>0.02</v>
      </c>
      <c r="H17" s="237" t="n">
        <f aca="false">HLOOKUP(G17,BDI!$C$19:$J$30,12,)</f>
        <v>0.2223</v>
      </c>
      <c r="I17" s="238" t="n">
        <v>834</v>
      </c>
      <c r="J17" s="238" t="n">
        <v>741</v>
      </c>
      <c r="K17" s="238" t="n">
        <v>93</v>
      </c>
      <c r="L17" s="238" t="n">
        <v>0</v>
      </c>
      <c r="M17" s="238" t="s">
        <v>273</v>
      </c>
      <c r="N17" s="238" t="s">
        <v>273</v>
      </c>
    </row>
    <row r="18" customFormat="false" ht="18" hidden="false" customHeight="true" outlineLevel="0" collapsed="false">
      <c r="B18" s="234" t="s">
        <v>21</v>
      </c>
      <c r="C18" s="234" t="s">
        <v>22</v>
      </c>
      <c r="D18" s="235" t="s">
        <v>147</v>
      </c>
      <c r="E18" s="236" t="s">
        <v>284</v>
      </c>
      <c r="F18" s="65" t="n">
        <f aca="false">112*2/60</f>
        <v>3.73333333333333</v>
      </c>
      <c r="G18" s="237" t="n">
        <v>0.03</v>
      </c>
      <c r="H18" s="237" t="n">
        <f aca="false">HLOOKUP(G18,BDI!$C$19:$J$30,12,)</f>
        <v>0.2354</v>
      </c>
      <c r="I18" s="238" t="n">
        <v>334.4</v>
      </c>
      <c r="J18" s="238" t="n">
        <v>296</v>
      </c>
      <c r="K18" s="238" t="n">
        <v>38.4</v>
      </c>
      <c r="L18" s="238" t="n">
        <v>0</v>
      </c>
      <c r="M18" s="238" t="s">
        <v>270</v>
      </c>
      <c r="N18" s="238" t="s">
        <v>270</v>
      </c>
    </row>
    <row r="19" customFormat="false" ht="18" hidden="false" customHeight="true" outlineLevel="0" collapsed="false">
      <c r="B19" s="234" t="s">
        <v>21</v>
      </c>
      <c r="C19" s="234" t="s">
        <v>21</v>
      </c>
      <c r="D19" s="235" t="s">
        <v>89</v>
      </c>
      <c r="E19" s="236" t="s">
        <v>285</v>
      </c>
      <c r="F19" s="65" t="n">
        <f aca="false">243*2/60</f>
        <v>8.1</v>
      </c>
      <c r="G19" s="237" t="n">
        <v>0.02</v>
      </c>
      <c r="H19" s="237" t="n">
        <f aca="false">HLOOKUP(G19,BDI!$C$19:$J$30,12,)</f>
        <v>0.2223</v>
      </c>
      <c r="I19" s="238" t="n">
        <v>623</v>
      </c>
      <c r="J19" s="238" t="n">
        <v>547</v>
      </c>
      <c r="K19" s="238" t="n">
        <v>76</v>
      </c>
      <c r="L19" s="238" t="n">
        <v>0</v>
      </c>
      <c r="M19" s="238" t="s">
        <v>270</v>
      </c>
      <c r="N19" s="238" t="s">
        <v>273</v>
      </c>
    </row>
    <row r="20" customFormat="false" ht="18" hidden="false" customHeight="true" outlineLevel="0" collapsed="false">
      <c r="B20" s="234" t="s">
        <v>21</v>
      </c>
      <c r="C20" s="234" t="s">
        <v>21</v>
      </c>
      <c r="D20" s="235" t="s">
        <v>90</v>
      </c>
      <c r="E20" s="236" t="s">
        <v>286</v>
      </c>
      <c r="F20" s="65" t="n">
        <f aca="false">163*2/60</f>
        <v>5.43333333333333</v>
      </c>
      <c r="G20" s="237" t="n">
        <v>0.03</v>
      </c>
      <c r="H20" s="237" t="n">
        <f aca="false">HLOOKUP(G20,BDI!$C$19:$J$30,12,)</f>
        <v>0.2354</v>
      </c>
      <c r="I20" s="238" t="n">
        <v>1853</v>
      </c>
      <c r="J20" s="238" t="n">
        <v>754</v>
      </c>
      <c r="K20" s="238" t="n">
        <v>299</v>
      </c>
      <c r="L20" s="238" t="n">
        <v>800</v>
      </c>
      <c r="M20" s="238" t="s">
        <v>273</v>
      </c>
      <c r="N20" s="238" t="s">
        <v>273</v>
      </c>
    </row>
    <row r="21" customFormat="false" ht="18" hidden="false" customHeight="true" outlineLevel="0" collapsed="false">
      <c r="B21" s="234" t="s">
        <v>21</v>
      </c>
      <c r="C21" s="234" t="s">
        <v>21</v>
      </c>
      <c r="D21" s="235" t="s">
        <v>92</v>
      </c>
      <c r="E21" s="236" t="s">
        <v>287</v>
      </c>
      <c r="F21" s="65" t="n">
        <f aca="false">91*2/60</f>
        <v>3.03333333333333</v>
      </c>
      <c r="G21" s="237" t="n">
        <v>0.04</v>
      </c>
      <c r="H21" s="237" t="n">
        <f aca="false">HLOOKUP(G21,BDI!$C$19:$J$30,12,)</f>
        <v>0.2487</v>
      </c>
      <c r="I21" s="238" t="n">
        <v>919</v>
      </c>
      <c r="J21" s="238" t="n">
        <v>447</v>
      </c>
      <c r="K21" s="238" t="n">
        <v>74</v>
      </c>
      <c r="L21" s="238" t="n">
        <v>398</v>
      </c>
      <c r="M21" s="238" t="s">
        <v>270</v>
      </c>
      <c r="N21" s="238" t="s">
        <v>273</v>
      </c>
    </row>
    <row r="22" customFormat="false" ht="18" hidden="false" customHeight="true" outlineLevel="0" collapsed="false">
      <c r="B22" s="234" t="s">
        <v>21</v>
      </c>
      <c r="C22" s="234" t="s">
        <v>21</v>
      </c>
      <c r="D22" s="235" t="s">
        <v>94</v>
      </c>
      <c r="E22" s="236" t="s">
        <v>288</v>
      </c>
      <c r="F22" s="65" t="n">
        <f aca="false">67*2/60</f>
        <v>2.23333333333333</v>
      </c>
      <c r="G22" s="237" t="n">
        <v>0.02</v>
      </c>
      <c r="H22" s="237" t="n">
        <f aca="false">HLOOKUP(G22,BDI!$C$19:$J$30,12,)</f>
        <v>0.2223</v>
      </c>
      <c r="I22" s="238" t="n">
        <v>460</v>
      </c>
      <c r="J22" s="238" t="n">
        <v>436</v>
      </c>
      <c r="K22" s="238" t="n">
        <v>24</v>
      </c>
      <c r="L22" s="238" t="n">
        <v>0</v>
      </c>
      <c r="M22" s="238" t="s">
        <v>270</v>
      </c>
      <c r="N22" s="238" t="s">
        <v>273</v>
      </c>
    </row>
    <row r="23" customFormat="false" ht="18" hidden="false" customHeight="true" outlineLevel="0" collapsed="false">
      <c r="B23" s="234" t="s">
        <v>21</v>
      </c>
      <c r="C23" s="234" t="s">
        <v>22</v>
      </c>
      <c r="D23" s="235" t="s">
        <v>148</v>
      </c>
      <c r="E23" s="236" t="s">
        <v>289</v>
      </c>
      <c r="F23" s="65" t="n">
        <f aca="false">64/60</f>
        <v>1.06666666666667</v>
      </c>
      <c r="G23" s="237" t="n">
        <v>0.02</v>
      </c>
      <c r="H23" s="237" t="n">
        <f aca="false">HLOOKUP(G23,BDI!$C$19:$J$30,12,)</f>
        <v>0.2223</v>
      </c>
      <c r="I23" s="238" t="n">
        <v>963</v>
      </c>
      <c r="J23" s="238" t="n">
        <v>578</v>
      </c>
      <c r="K23" s="238" t="n">
        <v>97</v>
      </c>
      <c r="L23" s="238" t="n">
        <v>288</v>
      </c>
      <c r="M23" s="238" t="s">
        <v>273</v>
      </c>
      <c r="N23" s="238" t="s">
        <v>273</v>
      </c>
    </row>
    <row r="24" customFormat="false" ht="18" hidden="false" customHeight="true" outlineLevel="0" collapsed="false">
      <c r="B24" s="234" t="s">
        <v>21</v>
      </c>
      <c r="C24" s="234" t="s">
        <v>21</v>
      </c>
      <c r="D24" s="235" t="s">
        <v>96</v>
      </c>
      <c r="E24" s="239" t="s">
        <v>290</v>
      </c>
      <c r="F24" s="65" t="n">
        <f aca="false">258/60</f>
        <v>4.3</v>
      </c>
      <c r="G24" s="237" t="n">
        <v>0.025</v>
      </c>
      <c r="H24" s="237" t="n">
        <f aca="false">HLOOKUP(G24,BDI!$C$19:$J$30,12,)</f>
        <v>0.2288</v>
      </c>
      <c r="I24" s="238" t="n">
        <v>2253</v>
      </c>
      <c r="J24" s="238" t="n">
        <v>726</v>
      </c>
      <c r="K24" s="238" t="n">
        <v>290</v>
      </c>
      <c r="L24" s="238" t="n">
        <v>1237</v>
      </c>
      <c r="M24" s="238" t="s">
        <v>270</v>
      </c>
      <c r="N24" s="238" t="s">
        <v>273</v>
      </c>
    </row>
    <row r="25" customFormat="false" ht="18" hidden="false" customHeight="true" outlineLevel="0" collapsed="false">
      <c r="B25" s="234" t="s">
        <v>21</v>
      </c>
      <c r="C25" s="234" t="s">
        <v>21</v>
      </c>
      <c r="D25" s="235" t="s">
        <v>97</v>
      </c>
      <c r="E25" s="236" t="s">
        <v>291</v>
      </c>
      <c r="F25" s="65" t="n">
        <f aca="false">219*2/60</f>
        <v>7.3</v>
      </c>
      <c r="G25" s="237" t="n">
        <v>0.02</v>
      </c>
      <c r="H25" s="237" t="n">
        <f aca="false">HLOOKUP(G25,BDI!$C$19:$J$30,12,)</f>
        <v>0.2223</v>
      </c>
      <c r="I25" s="238" t="n">
        <v>1818</v>
      </c>
      <c r="J25" s="238" t="n">
        <v>595</v>
      </c>
      <c r="K25" s="238" t="n">
        <v>687</v>
      </c>
      <c r="L25" s="238" t="n">
        <v>536</v>
      </c>
      <c r="M25" s="238" t="s">
        <v>273</v>
      </c>
      <c r="N25" s="238" t="s">
        <v>273</v>
      </c>
    </row>
    <row r="26" customFormat="false" ht="18" hidden="false" customHeight="true" outlineLevel="0" collapsed="false">
      <c r="B26" s="234" t="s">
        <v>21</v>
      </c>
      <c r="C26" s="234" t="s">
        <v>21</v>
      </c>
      <c r="D26" s="235" t="s">
        <v>98</v>
      </c>
      <c r="E26" s="236" t="s">
        <v>292</v>
      </c>
      <c r="F26" s="65" t="n">
        <f aca="false">50*2/60</f>
        <v>1.66666666666667</v>
      </c>
      <c r="G26" s="237" t="n">
        <v>0.03</v>
      </c>
      <c r="H26" s="237" t="n">
        <f aca="false">HLOOKUP(G26,BDI!$C$19:$J$30,12,)</f>
        <v>0.2354</v>
      </c>
      <c r="I26" s="238" t="n">
        <v>1476</v>
      </c>
      <c r="J26" s="238" t="n">
        <v>714</v>
      </c>
      <c r="K26" s="238" t="n">
        <v>65</v>
      </c>
      <c r="L26" s="238" t="n">
        <v>697</v>
      </c>
      <c r="M26" s="238" t="s">
        <v>273</v>
      </c>
      <c r="N26" s="238" t="s">
        <v>273</v>
      </c>
    </row>
    <row r="27" customFormat="false" ht="18" hidden="false" customHeight="true" outlineLevel="0" collapsed="false">
      <c r="B27" s="234" t="s">
        <v>21</v>
      </c>
      <c r="C27" s="234" t="s">
        <v>21</v>
      </c>
      <c r="D27" s="235" t="s">
        <v>99</v>
      </c>
      <c r="E27" s="239" t="s">
        <v>293</v>
      </c>
      <c r="F27" s="65" t="n">
        <f aca="false">38*2/60</f>
        <v>1.26666666666667</v>
      </c>
      <c r="G27" s="237" t="n">
        <v>0.03</v>
      </c>
      <c r="H27" s="237" t="n">
        <f aca="false">HLOOKUP(G27,BDI!$C$19:$J$30,12,)</f>
        <v>0.2354</v>
      </c>
      <c r="I27" s="238" t="n">
        <v>334.4</v>
      </c>
      <c r="J27" s="238" t="n">
        <v>296</v>
      </c>
      <c r="K27" s="238" t="n">
        <v>38.4</v>
      </c>
      <c r="L27" s="238" t="n">
        <v>0</v>
      </c>
      <c r="M27" s="238" t="s">
        <v>270</v>
      </c>
      <c r="N27" s="238" t="s">
        <v>270</v>
      </c>
    </row>
    <row r="28" customFormat="false" ht="18" hidden="false" customHeight="true" outlineLevel="0" collapsed="false">
      <c r="B28" s="234" t="s">
        <v>21</v>
      </c>
      <c r="C28" s="234" t="s">
        <v>21</v>
      </c>
      <c r="D28" s="235" t="s">
        <v>100</v>
      </c>
      <c r="E28" s="236" t="s">
        <v>294</v>
      </c>
      <c r="F28" s="65" t="n">
        <v>0</v>
      </c>
      <c r="G28" s="237" t="n">
        <v>0.02</v>
      </c>
      <c r="H28" s="237" t="n">
        <f aca="false">HLOOKUP(G28,BDI!$C$19:$J$30,12,)</f>
        <v>0.2223</v>
      </c>
      <c r="I28" s="238" t="n">
        <v>1187</v>
      </c>
      <c r="J28" s="238" t="n">
        <v>1027</v>
      </c>
      <c r="K28" s="238" t="n">
        <v>155</v>
      </c>
      <c r="L28" s="238" t="n">
        <v>5</v>
      </c>
      <c r="M28" s="238" t="s">
        <v>273</v>
      </c>
      <c r="N28" s="238" t="s">
        <v>273</v>
      </c>
    </row>
  </sheetData>
  <mergeCells count="1">
    <mergeCell ref="B2:N2"/>
  </mergeCells>
  <printOptions headings="false" gridLines="false" gridLinesSet="true" horizontalCentered="true" verticalCentered="false"/>
  <pageMargins left="0.254861111111111" right="0.240972222222222" top="0.495833333333333" bottom="0.333333333333333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FFFFFF"/>
    <pageSetUpPr fitToPage="false"/>
  </sheetPr>
  <dimension ref="B1:J65540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8.41015625" defaultRowHeight="14.25" zeroHeight="false" outlineLevelRow="0" outlineLevelCol="0"/>
  <cols>
    <col collapsed="false" customWidth="true" hidden="false" outlineLevel="0" max="1" min="1" style="1" width="5.62"/>
    <col collapsed="false" customWidth="true" hidden="false" outlineLevel="0" max="2" min="2" style="240" width="11.62"/>
    <col collapsed="false" customWidth="true" hidden="false" outlineLevel="0" max="3" min="3" style="240" width="42.25"/>
    <col collapsed="false" customWidth="true" hidden="false" outlineLevel="0" max="4" min="4" style="52" width="11"/>
    <col collapsed="false" customWidth="true" hidden="false" outlineLevel="0" max="1023" min="5" style="1" width="10.38"/>
  </cols>
  <sheetData>
    <row r="1" customFormat="false" ht="15" hidden="false" customHeight="true" outlineLevel="0" collapsed="false"/>
    <row r="2" customFormat="false" ht="19.5" hidden="false" customHeight="true" outlineLevel="0" collapsed="false">
      <c r="B2" s="241" t="s">
        <v>295</v>
      </c>
      <c r="C2" s="241"/>
      <c r="D2" s="241"/>
      <c r="E2" s="241"/>
      <c r="F2" s="241"/>
      <c r="G2" s="241"/>
      <c r="H2" s="241"/>
      <c r="I2" s="241"/>
      <c r="J2" s="241"/>
    </row>
    <row r="3" customFormat="false" ht="19.5" hidden="false" customHeight="true" outlineLevel="0" collapsed="false">
      <c r="B3" s="242" t="s">
        <v>3</v>
      </c>
      <c r="C3" s="242"/>
      <c r="D3" s="242"/>
      <c r="E3" s="242"/>
      <c r="F3" s="242"/>
      <c r="G3" s="242"/>
      <c r="H3" s="242"/>
      <c r="I3" s="242"/>
      <c r="J3" s="242"/>
    </row>
    <row r="4" customFormat="false" ht="15" hidden="false" customHeight="true" outlineLevel="0" collapsed="false">
      <c r="B4" s="243"/>
      <c r="C4" s="243"/>
      <c r="D4" s="20"/>
    </row>
    <row r="5" customFormat="false" ht="15" hidden="false" customHeight="true" outlineLevel="0" collapsed="false">
      <c r="B5" s="244" t="s">
        <v>296</v>
      </c>
      <c r="C5" s="244"/>
      <c r="D5" s="244"/>
      <c r="E5" s="244"/>
      <c r="F5" s="245"/>
      <c r="G5" s="245"/>
      <c r="H5" s="245"/>
      <c r="I5" s="245"/>
      <c r="J5" s="246"/>
    </row>
    <row r="6" customFormat="false" ht="15" hidden="false" customHeight="true" outlineLevel="0" collapsed="false">
      <c r="B6" s="247"/>
      <c r="C6" s="2"/>
      <c r="D6" s="132"/>
      <c r="E6" s="132"/>
      <c r="J6" s="248"/>
    </row>
    <row r="7" customFormat="false" ht="15" hidden="false" customHeight="true" outlineLevel="0" collapsed="false">
      <c r="B7" s="249" t="s">
        <v>297</v>
      </c>
      <c r="C7" s="249"/>
      <c r="D7" s="249"/>
      <c r="E7" s="249"/>
      <c r="F7" s="249"/>
      <c r="G7" s="249"/>
      <c r="H7" s="249"/>
      <c r="I7" s="249"/>
      <c r="J7" s="249"/>
    </row>
    <row r="8" customFormat="false" ht="15" hidden="false" customHeight="true" outlineLevel="0" collapsed="false">
      <c r="B8" s="250"/>
      <c r="C8" s="251"/>
      <c r="D8" s="132"/>
      <c r="E8" s="132"/>
      <c r="J8" s="248"/>
    </row>
    <row r="9" customFormat="false" ht="15" hidden="false" customHeight="true" outlineLevel="0" collapsed="false">
      <c r="B9" s="252" t="s">
        <v>298</v>
      </c>
      <c r="C9" s="252"/>
      <c r="D9" s="252"/>
      <c r="E9" s="252"/>
      <c r="F9" s="252"/>
      <c r="G9" s="252"/>
      <c r="H9" s="252"/>
      <c r="I9" s="252"/>
      <c r="J9" s="252"/>
    </row>
    <row r="10" customFormat="false" ht="15" hidden="false" customHeight="true" outlineLevel="0" collapsed="false">
      <c r="B10" s="253" t="s">
        <v>299</v>
      </c>
      <c r="C10" s="253"/>
      <c r="D10" s="253"/>
      <c r="E10" s="253"/>
      <c r="F10" s="253"/>
      <c r="G10" s="253"/>
      <c r="H10" s="253"/>
      <c r="I10" s="253"/>
      <c r="J10" s="253"/>
    </row>
    <row r="11" customFormat="false" ht="15" hidden="false" customHeight="true" outlineLevel="0" collapsed="false">
      <c r="B11" s="253" t="s">
        <v>300</v>
      </c>
      <c r="C11" s="253"/>
      <c r="D11" s="253"/>
      <c r="E11" s="253"/>
      <c r="F11" s="253"/>
      <c r="G11" s="253"/>
      <c r="H11" s="253"/>
      <c r="I11" s="253"/>
      <c r="J11" s="253"/>
    </row>
    <row r="12" customFormat="false" ht="15" hidden="false" customHeight="true" outlineLevel="0" collapsed="false">
      <c r="B12" s="253" t="s">
        <v>301</v>
      </c>
      <c r="C12" s="253"/>
      <c r="D12" s="253"/>
      <c r="E12" s="253"/>
      <c r="F12" s="253"/>
      <c r="G12" s="253"/>
      <c r="H12" s="253"/>
      <c r="I12" s="253"/>
      <c r="J12" s="253"/>
    </row>
    <row r="13" customFormat="false" ht="15" hidden="false" customHeight="true" outlineLevel="0" collapsed="false">
      <c r="B13" s="253" t="s">
        <v>302</v>
      </c>
      <c r="C13" s="253"/>
      <c r="D13" s="253"/>
      <c r="E13" s="253"/>
      <c r="F13" s="253"/>
      <c r="G13" s="253"/>
      <c r="H13" s="253"/>
      <c r="I13" s="253"/>
      <c r="J13" s="253"/>
    </row>
    <row r="14" customFormat="false" ht="15" hidden="false" customHeight="true" outlineLevel="0" collapsed="false">
      <c r="B14" s="253" t="s">
        <v>303</v>
      </c>
      <c r="C14" s="253"/>
      <c r="D14" s="253"/>
      <c r="E14" s="253"/>
      <c r="F14" s="253"/>
      <c r="G14" s="253"/>
      <c r="H14" s="253"/>
      <c r="I14" s="253"/>
      <c r="J14" s="253"/>
    </row>
    <row r="15" customFormat="false" ht="15" hidden="false" customHeight="true" outlineLevel="0" collapsed="false">
      <c r="B15" s="253" t="s">
        <v>304</v>
      </c>
      <c r="C15" s="253"/>
      <c r="D15" s="253"/>
      <c r="E15" s="253"/>
      <c r="F15" s="253"/>
      <c r="G15" s="253"/>
      <c r="H15" s="253"/>
      <c r="I15" s="253"/>
      <c r="J15" s="253"/>
    </row>
    <row r="16" customFormat="false" ht="15" hidden="false" customHeight="true" outlineLevel="0" collapsed="false">
      <c r="B16" s="254" t="s">
        <v>305</v>
      </c>
      <c r="C16" s="254"/>
      <c r="D16" s="254"/>
      <c r="E16" s="254"/>
      <c r="F16" s="254"/>
      <c r="G16" s="254"/>
      <c r="H16" s="254"/>
      <c r="I16" s="254"/>
      <c r="J16" s="254"/>
    </row>
    <row r="17" customFormat="false" ht="24.75" hidden="false" customHeight="true" outlineLevel="0" collapsed="false">
      <c r="D17" s="20"/>
    </row>
    <row r="18" customFormat="false" ht="14.25" hidden="false" customHeight="true" outlineLevel="0" collapsed="false">
      <c r="B18" s="32" t="s">
        <v>306</v>
      </c>
      <c r="C18" s="32"/>
      <c r="D18" s="255" t="s">
        <v>261</v>
      </c>
      <c r="E18" s="255" t="s">
        <v>261</v>
      </c>
      <c r="F18" s="255" t="s">
        <v>261</v>
      </c>
      <c r="G18" s="256" t="s">
        <v>261</v>
      </c>
      <c r="H18" s="257" t="s">
        <v>261</v>
      </c>
      <c r="I18" s="257" t="s">
        <v>261</v>
      </c>
      <c r="J18" s="257" t="s">
        <v>261</v>
      </c>
    </row>
    <row r="19" customFormat="false" ht="14.25" hidden="false" customHeight="false" outlineLevel="0" collapsed="false">
      <c r="B19" s="32"/>
      <c r="C19" s="32"/>
      <c r="D19" s="258" t="n">
        <v>0.05</v>
      </c>
      <c r="E19" s="258" t="n">
        <v>0.04</v>
      </c>
      <c r="F19" s="258" t="n">
        <v>0.035</v>
      </c>
      <c r="G19" s="259" t="n">
        <v>0.03</v>
      </c>
      <c r="H19" s="260" t="n">
        <v>0.025</v>
      </c>
      <c r="I19" s="260" t="n">
        <v>0.02</v>
      </c>
      <c r="J19" s="260" t="n">
        <v>0.015</v>
      </c>
    </row>
    <row r="20" customFormat="false" ht="15" hidden="false" customHeight="true" outlineLevel="0" collapsed="false">
      <c r="B20" s="261" t="s">
        <v>307</v>
      </c>
      <c r="C20" s="262" t="s">
        <v>308</v>
      </c>
      <c r="D20" s="263" t="n">
        <v>0.04</v>
      </c>
      <c r="E20" s="263" t="n">
        <v>0.04</v>
      </c>
      <c r="F20" s="263" t="n">
        <v>0.04</v>
      </c>
      <c r="G20" s="263" t="n">
        <v>0.04</v>
      </c>
      <c r="H20" s="263" t="n">
        <v>0.04</v>
      </c>
      <c r="I20" s="263" t="n">
        <v>0.04</v>
      </c>
      <c r="J20" s="263" t="n">
        <v>0.04</v>
      </c>
    </row>
    <row r="21" customFormat="false" ht="15" hidden="false" customHeight="true" outlineLevel="0" collapsed="false">
      <c r="B21" s="261" t="s">
        <v>309</v>
      </c>
      <c r="C21" s="234" t="s">
        <v>310</v>
      </c>
      <c r="D21" s="264" t="n">
        <v>0.0123</v>
      </c>
      <c r="E21" s="264" t="n">
        <v>0.0123</v>
      </c>
      <c r="F21" s="264" t="n">
        <v>0.0123</v>
      </c>
      <c r="G21" s="264" t="n">
        <v>0.0123</v>
      </c>
      <c r="H21" s="264" t="n">
        <v>0.0123</v>
      </c>
      <c r="I21" s="264" t="n">
        <v>0.0123</v>
      </c>
      <c r="J21" s="264" t="n">
        <v>0.0123</v>
      </c>
    </row>
    <row r="22" customFormat="false" ht="15" hidden="false" customHeight="true" outlineLevel="0" collapsed="false">
      <c r="B22" s="261" t="s">
        <v>311</v>
      </c>
      <c r="C22" s="234" t="s">
        <v>312</v>
      </c>
      <c r="D22" s="264" t="n">
        <v>0.008</v>
      </c>
      <c r="E22" s="264" t="n">
        <v>0.008</v>
      </c>
      <c r="F22" s="264" t="n">
        <v>0.008</v>
      </c>
      <c r="G22" s="264" t="n">
        <v>0.008</v>
      </c>
      <c r="H22" s="264" t="n">
        <v>0.008</v>
      </c>
      <c r="I22" s="264" t="n">
        <v>0.008</v>
      </c>
      <c r="J22" s="264" t="n">
        <v>0.008</v>
      </c>
    </row>
    <row r="23" customFormat="false" ht="15" hidden="false" customHeight="true" outlineLevel="0" collapsed="false">
      <c r="B23" s="261" t="s">
        <v>313</v>
      </c>
      <c r="C23" s="234" t="s">
        <v>314</v>
      </c>
      <c r="D23" s="264" t="n">
        <v>0.0127</v>
      </c>
      <c r="E23" s="264" t="n">
        <v>0.0127</v>
      </c>
      <c r="F23" s="264" t="n">
        <v>0.0127</v>
      </c>
      <c r="G23" s="264" t="n">
        <v>0.0127</v>
      </c>
      <c r="H23" s="264" t="n">
        <v>0.0127</v>
      </c>
      <c r="I23" s="264" t="n">
        <v>0.0127</v>
      </c>
      <c r="J23" s="264" t="n">
        <v>0.0127</v>
      </c>
    </row>
    <row r="24" customFormat="false" ht="15" hidden="false" customHeight="true" outlineLevel="0" collapsed="false">
      <c r="B24" s="261" t="s">
        <v>315</v>
      </c>
      <c r="C24" s="234" t="s">
        <v>316</v>
      </c>
      <c r="D24" s="264" t="n">
        <v>0.074</v>
      </c>
      <c r="E24" s="264" t="n">
        <v>0.074</v>
      </c>
      <c r="F24" s="264" t="n">
        <v>0.074</v>
      </c>
      <c r="G24" s="264" t="n">
        <v>0.074</v>
      </c>
      <c r="H24" s="264" t="n">
        <v>0.074</v>
      </c>
      <c r="I24" s="264" t="n">
        <v>0.074</v>
      </c>
      <c r="J24" s="264" t="n">
        <v>0.074</v>
      </c>
    </row>
    <row r="25" customFormat="false" ht="15" hidden="false" customHeight="true" outlineLevel="0" collapsed="false">
      <c r="B25" s="261" t="s">
        <v>203</v>
      </c>
      <c r="C25" s="234" t="s">
        <v>317</v>
      </c>
      <c r="D25" s="264" t="n">
        <v>0.0065</v>
      </c>
      <c r="E25" s="264" t="n">
        <v>0.0065</v>
      </c>
      <c r="F25" s="264" t="n">
        <v>0.0065</v>
      </c>
      <c r="G25" s="264" t="n">
        <v>0.0065</v>
      </c>
      <c r="H25" s="264" t="n">
        <v>0.0065</v>
      </c>
      <c r="I25" s="264" t="n">
        <v>0.0065</v>
      </c>
      <c r="J25" s="264" t="n">
        <v>0.0065</v>
      </c>
    </row>
    <row r="26" customFormat="false" ht="15" hidden="false" customHeight="true" outlineLevel="0" collapsed="false">
      <c r="B26" s="261"/>
      <c r="C26" s="261" t="s">
        <v>318</v>
      </c>
      <c r="D26" s="265" t="n">
        <v>0.03</v>
      </c>
      <c r="E26" s="265" t="n">
        <v>0.03</v>
      </c>
      <c r="F26" s="265" t="n">
        <v>0.03</v>
      </c>
      <c r="G26" s="265" t="n">
        <v>0.03</v>
      </c>
      <c r="H26" s="265" t="n">
        <v>0.03</v>
      </c>
      <c r="I26" s="265" t="n">
        <v>0.03</v>
      </c>
      <c r="J26" s="265" t="n">
        <v>0.03</v>
      </c>
    </row>
    <row r="27" customFormat="false" ht="15" hidden="false" customHeight="true" outlineLevel="0" collapsed="false">
      <c r="B27" s="261"/>
      <c r="C27" s="261" t="s">
        <v>261</v>
      </c>
      <c r="D27" s="265" t="n">
        <v>0.05</v>
      </c>
      <c r="E27" s="265" t="n">
        <v>0.04</v>
      </c>
      <c r="F27" s="264" t="n">
        <v>0.035</v>
      </c>
      <c r="G27" s="265" t="n">
        <v>0.03</v>
      </c>
      <c r="H27" s="265" t="n">
        <v>0.025</v>
      </c>
      <c r="I27" s="265" t="n">
        <v>0.02</v>
      </c>
      <c r="J27" s="264" t="n">
        <v>0.015</v>
      </c>
    </row>
    <row r="28" customFormat="false" ht="15" hidden="false" customHeight="true" outlineLevel="0" collapsed="false">
      <c r="B28" s="261"/>
      <c r="C28" s="261" t="s">
        <v>319</v>
      </c>
      <c r="D28" s="265" t="n">
        <v>0</v>
      </c>
      <c r="E28" s="265" t="n">
        <v>0</v>
      </c>
      <c r="F28" s="264" t="n">
        <v>0</v>
      </c>
      <c r="G28" s="265" t="n">
        <v>0</v>
      </c>
      <c r="H28" s="265" t="n">
        <v>0</v>
      </c>
      <c r="I28" s="265" t="n">
        <v>0</v>
      </c>
      <c r="J28" s="264" t="n">
        <v>0</v>
      </c>
    </row>
    <row r="29" customFormat="false" ht="19.5" hidden="false" customHeight="true" outlineLevel="0" collapsed="false">
      <c r="B29" s="130" t="s">
        <v>320</v>
      </c>
      <c r="C29" s="130"/>
      <c r="D29" s="36" t="n">
        <f aca="false">(((1+D22+D20+D23)*(1+D21)*(1+D24))/(1-(D25+D26+D27+D28))-1)</f>
        <v>0.262401597307061</v>
      </c>
      <c r="E29" s="36" t="n">
        <f aca="false">(((1+E22+E20+E23)*(1+E21)*(1+E24))/(1-(E25+E26+E27+E28))-1)</f>
        <v>0.248731845305902</v>
      </c>
      <c r="F29" s="36" t="n">
        <f aca="false">(((1+F22+F20+F23)*(1+F21)*(1+F24))/(1-(F25+F26+F27+F28))-1)</f>
        <v>0.24200738733441</v>
      </c>
      <c r="G29" s="36" t="n">
        <f aca="false">(((1+G22+G20+G23)*(1+G21)*(1+G24))/(1-(G25+G26+G27+G28))-1)</f>
        <v>0.235354964263524</v>
      </c>
      <c r="H29" s="36" t="n">
        <f aca="false">(((1+H22+H20+H23)*(1+H21)*(1+H24))/(1-(H25+H26+H27+H28))-1)</f>
        <v>0.22877342476292</v>
      </c>
      <c r="I29" s="36" t="n">
        <f aca="false">(((1+I22+I20+I23)*(1+I21)*(1+I24))/(1-(I25+I26+I27+I28))-1)</f>
        <v>0.22226164190779</v>
      </c>
      <c r="J29" s="36" t="n">
        <f aca="false">(((1+J22+J20+J23)*(1+J21)*(1+J24))/(1-(J25+J26+J27+J28))-1)</f>
        <v>0.215818512535582</v>
      </c>
    </row>
    <row r="30" customFormat="false" ht="19.5" hidden="false" customHeight="true" outlineLevel="0" collapsed="false">
      <c r="B30" s="266" t="s">
        <v>321</v>
      </c>
      <c r="C30" s="266"/>
      <c r="D30" s="267" t="n">
        <f aca="false">ROUND(D29,4)</f>
        <v>0.2624</v>
      </c>
      <c r="E30" s="267" t="n">
        <f aca="false">ROUND(E29,4)</f>
        <v>0.2487</v>
      </c>
      <c r="F30" s="267" t="n">
        <f aca="false">ROUND(F29,4)</f>
        <v>0.242</v>
      </c>
      <c r="G30" s="267" t="n">
        <f aca="false">ROUND(G29,4)</f>
        <v>0.2354</v>
      </c>
      <c r="H30" s="267" t="n">
        <f aca="false">ROUND(H29,4)</f>
        <v>0.2288</v>
      </c>
      <c r="I30" s="267" t="n">
        <f aca="false">ROUND(I29,4)</f>
        <v>0.2223</v>
      </c>
      <c r="J30" s="267" t="n">
        <f aca="false">ROUND(J29,4)</f>
        <v>0.2158</v>
      </c>
    </row>
    <row r="31" customFormat="false" ht="24.75" hidden="false" customHeight="true" outlineLevel="0" collapsed="false">
      <c r="B31" s="268"/>
      <c r="C31" s="268"/>
      <c r="D31" s="83"/>
      <c r="E31" s="83"/>
      <c r="F31" s="83"/>
      <c r="G31" s="83"/>
      <c r="H31" s="83"/>
      <c r="I31" s="83"/>
      <c r="J31" s="83"/>
    </row>
    <row r="32" customFormat="false" ht="14.25" hidden="false" customHeight="true" outlineLevel="0" collapsed="false">
      <c r="B32" s="32" t="s">
        <v>322</v>
      </c>
      <c r="C32" s="32"/>
      <c r="D32" s="255" t="s">
        <v>261</v>
      </c>
      <c r="E32" s="255" t="s">
        <v>261</v>
      </c>
      <c r="F32" s="255" t="s">
        <v>261</v>
      </c>
      <c r="G32" s="256" t="s">
        <v>261</v>
      </c>
      <c r="H32" s="257" t="s">
        <v>261</v>
      </c>
      <c r="I32" s="257" t="s">
        <v>261</v>
      </c>
      <c r="J32" s="257" t="s">
        <v>261</v>
      </c>
    </row>
    <row r="33" customFormat="false" ht="14.25" hidden="false" customHeight="false" outlineLevel="0" collapsed="false">
      <c r="B33" s="32"/>
      <c r="C33" s="32"/>
      <c r="D33" s="269" t="n">
        <v>0.05</v>
      </c>
      <c r="E33" s="269" t="n">
        <v>0.04</v>
      </c>
      <c r="F33" s="269" t="n">
        <v>0.035</v>
      </c>
      <c r="G33" s="270" t="n">
        <v>0.03</v>
      </c>
      <c r="H33" s="271" t="n">
        <v>0.025</v>
      </c>
      <c r="I33" s="271" t="n">
        <v>0.02</v>
      </c>
      <c r="J33" s="271" t="n">
        <v>0.015</v>
      </c>
    </row>
    <row r="34" customFormat="false" ht="15" hidden="false" customHeight="true" outlineLevel="0" collapsed="false">
      <c r="B34" s="261" t="s">
        <v>307</v>
      </c>
      <c r="C34" s="262" t="s">
        <v>308</v>
      </c>
      <c r="D34" s="264" t="n">
        <v>0.0345</v>
      </c>
      <c r="E34" s="264" t="n">
        <v>0.0345</v>
      </c>
      <c r="F34" s="264" t="n">
        <v>0.0345</v>
      </c>
      <c r="G34" s="264" t="n">
        <v>0.0345</v>
      </c>
      <c r="H34" s="264" t="n">
        <v>0.0345</v>
      </c>
      <c r="I34" s="264" t="n">
        <v>0.0345</v>
      </c>
      <c r="J34" s="264" t="n">
        <v>0.0345</v>
      </c>
    </row>
    <row r="35" customFormat="false" ht="15" hidden="false" customHeight="true" outlineLevel="0" collapsed="false">
      <c r="B35" s="261" t="s">
        <v>309</v>
      </c>
      <c r="C35" s="234" t="s">
        <v>310</v>
      </c>
      <c r="D35" s="264" t="n">
        <v>0.0085</v>
      </c>
      <c r="E35" s="264" t="n">
        <v>0.0085</v>
      </c>
      <c r="F35" s="264" t="n">
        <v>0.0085</v>
      </c>
      <c r="G35" s="264" t="n">
        <v>0.0085</v>
      </c>
      <c r="H35" s="264" t="n">
        <v>0.0085</v>
      </c>
      <c r="I35" s="264" t="n">
        <v>0.0085</v>
      </c>
      <c r="J35" s="264" t="n">
        <v>0.0085</v>
      </c>
    </row>
    <row r="36" customFormat="false" ht="15" hidden="false" customHeight="true" outlineLevel="0" collapsed="false">
      <c r="B36" s="261" t="s">
        <v>311</v>
      </c>
      <c r="C36" s="234" t="s">
        <v>312</v>
      </c>
      <c r="D36" s="264" t="n">
        <v>0.0048</v>
      </c>
      <c r="E36" s="264" t="n">
        <v>0.0048</v>
      </c>
      <c r="F36" s="264" t="n">
        <v>0.0048</v>
      </c>
      <c r="G36" s="264" t="n">
        <v>0.0048</v>
      </c>
      <c r="H36" s="264" t="n">
        <v>0.0048</v>
      </c>
      <c r="I36" s="264" t="n">
        <v>0.0048</v>
      </c>
      <c r="J36" s="264" t="n">
        <v>0.0048</v>
      </c>
    </row>
    <row r="37" customFormat="false" ht="15" hidden="false" customHeight="true" outlineLevel="0" collapsed="false">
      <c r="B37" s="261" t="s">
        <v>313</v>
      </c>
      <c r="C37" s="234" t="s">
        <v>314</v>
      </c>
      <c r="D37" s="264" t="n">
        <v>0.0085</v>
      </c>
      <c r="E37" s="264" t="n">
        <v>0.0085</v>
      </c>
      <c r="F37" s="264" t="n">
        <v>0.0085</v>
      </c>
      <c r="G37" s="264" t="n">
        <v>0.0085</v>
      </c>
      <c r="H37" s="264" t="n">
        <v>0.0085</v>
      </c>
      <c r="I37" s="264" t="n">
        <v>0.0085</v>
      </c>
      <c r="J37" s="264" t="n">
        <v>0.0085</v>
      </c>
    </row>
    <row r="38" customFormat="false" ht="15" hidden="false" customHeight="true" outlineLevel="0" collapsed="false">
      <c r="B38" s="261" t="s">
        <v>315</v>
      </c>
      <c r="C38" s="234" t="s">
        <v>316</v>
      </c>
      <c r="D38" s="264" t="n">
        <v>0.0511</v>
      </c>
      <c r="E38" s="264" t="n">
        <v>0.0511</v>
      </c>
      <c r="F38" s="264" t="n">
        <v>0.0511</v>
      </c>
      <c r="G38" s="264" t="n">
        <v>0.0511</v>
      </c>
      <c r="H38" s="264" t="n">
        <v>0.0511</v>
      </c>
      <c r="I38" s="264" t="n">
        <v>0.0511</v>
      </c>
      <c r="J38" s="264" t="n">
        <v>0.0511</v>
      </c>
    </row>
    <row r="39" customFormat="false" ht="15" hidden="false" customHeight="true" outlineLevel="0" collapsed="false">
      <c r="B39" s="261" t="s">
        <v>203</v>
      </c>
      <c r="C39" s="234" t="s">
        <v>317</v>
      </c>
      <c r="D39" s="264" t="n">
        <v>0.0065</v>
      </c>
      <c r="E39" s="264" t="n">
        <v>0.0065</v>
      </c>
      <c r="F39" s="264" t="n">
        <v>0.0065</v>
      </c>
      <c r="G39" s="264" t="n">
        <v>0.0065</v>
      </c>
      <c r="H39" s="264" t="n">
        <v>0.0065</v>
      </c>
      <c r="I39" s="264" t="n">
        <v>0.0065</v>
      </c>
      <c r="J39" s="264" t="n">
        <v>0.0065</v>
      </c>
    </row>
    <row r="40" customFormat="false" ht="15" hidden="false" customHeight="true" outlineLevel="0" collapsed="false">
      <c r="B40" s="261"/>
      <c r="C40" s="261" t="s">
        <v>318</v>
      </c>
      <c r="D40" s="265" t="n">
        <v>0.03</v>
      </c>
      <c r="E40" s="265" t="n">
        <v>0.03</v>
      </c>
      <c r="F40" s="265" t="n">
        <v>0.03</v>
      </c>
      <c r="G40" s="265" t="n">
        <v>0.03</v>
      </c>
      <c r="H40" s="265" t="n">
        <v>0.03</v>
      </c>
      <c r="I40" s="265" t="n">
        <v>0.03</v>
      </c>
      <c r="J40" s="265" t="n">
        <v>0.03</v>
      </c>
    </row>
    <row r="41" customFormat="false" ht="15" hidden="false" customHeight="true" outlineLevel="0" collapsed="false">
      <c r="B41" s="261"/>
      <c r="C41" s="261" t="s">
        <v>261</v>
      </c>
      <c r="D41" s="265" t="n">
        <v>0</v>
      </c>
      <c r="E41" s="265" t="n">
        <v>0</v>
      </c>
      <c r="F41" s="264" t="n">
        <v>0</v>
      </c>
      <c r="G41" s="265" t="n">
        <v>0</v>
      </c>
      <c r="H41" s="265" t="n">
        <v>0</v>
      </c>
      <c r="I41" s="265" t="n">
        <v>0</v>
      </c>
      <c r="J41" s="264" t="n">
        <v>0</v>
      </c>
    </row>
    <row r="42" customFormat="false" ht="15" hidden="false" customHeight="true" outlineLevel="0" collapsed="false">
      <c r="B42" s="261"/>
      <c r="C42" s="261" t="s">
        <v>319</v>
      </c>
      <c r="D42" s="265" t="n">
        <v>0</v>
      </c>
      <c r="E42" s="265" t="n">
        <v>0</v>
      </c>
      <c r="F42" s="264" t="n">
        <v>0</v>
      </c>
      <c r="G42" s="265" t="n">
        <v>0</v>
      </c>
      <c r="H42" s="265" t="n">
        <v>0</v>
      </c>
      <c r="I42" s="265" t="n">
        <v>0</v>
      </c>
      <c r="J42" s="264" t="n">
        <v>0</v>
      </c>
    </row>
    <row r="43" customFormat="false" ht="19.5" hidden="false" customHeight="true" outlineLevel="0" collapsed="false">
      <c r="B43" s="87" t="s">
        <v>320</v>
      </c>
      <c r="C43" s="87"/>
      <c r="D43" s="36" t="n">
        <f aca="false">(((1+D36+D34+D37)*(1+D35)*(1+D38))/(1-(D39+D40+D41+D42))-1)</f>
        <v>0.152780479429164</v>
      </c>
      <c r="E43" s="36" t="n">
        <f aca="false">(((1+E36+E34+E37)*(1+E35)*(1+E38))/(1-(E39+E40+E41+E42))-1)</f>
        <v>0.152780479429164</v>
      </c>
      <c r="F43" s="36" t="n">
        <f aca="false">(((1+F36+F34+F37)*(1+F35)*(1+F38))/(1-(F39+F40+F41+F42))-1)</f>
        <v>0.152780479429164</v>
      </c>
      <c r="G43" s="36" t="n">
        <f aca="false">(((1+G36+G34+G37)*(1+G35)*(1+G38))/(1-(G39+G40+G41+G42))-1)</f>
        <v>0.152780479429164</v>
      </c>
      <c r="H43" s="36" t="n">
        <f aca="false">(((1+H36+H34+H37)*(1+H35)*(1+H38))/(1-(H39+H40+H41+H42))-1)</f>
        <v>0.152780479429164</v>
      </c>
      <c r="I43" s="36" t="n">
        <f aca="false">(((1+I36+I34+I37)*(1+I35)*(1+I38))/(1-(I39+I40+I41+I42))-1)</f>
        <v>0.152780479429164</v>
      </c>
      <c r="J43" s="36" t="n">
        <f aca="false">(((1+J36+J34+J37)*(1+J35)*(1+J38))/(1-(J39+J40+J41+J42))-1)</f>
        <v>0.152780479429164</v>
      </c>
    </row>
    <row r="44" customFormat="false" ht="19.5" hidden="false" customHeight="true" outlineLevel="0" collapsed="false">
      <c r="B44" s="272" t="s">
        <v>321</v>
      </c>
      <c r="C44" s="272"/>
      <c r="D44" s="267" t="n">
        <f aca="false">ROUND(D43,4)</f>
        <v>0.1528</v>
      </c>
      <c r="E44" s="267" t="n">
        <f aca="false">ROUND(E43,4)</f>
        <v>0.1528</v>
      </c>
      <c r="F44" s="267" t="n">
        <f aca="false">ROUND(F43,4)</f>
        <v>0.1528</v>
      </c>
      <c r="G44" s="267" t="n">
        <f aca="false">ROUND(G43,4)</f>
        <v>0.1528</v>
      </c>
      <c r="H44" s="267" t="n">
        <f aca="false">ROUND(H43,4)</f>
        <v>0.1528</v>
      </c>
      <c r="I44" s="267" t="n">
        <f aca="false">ROUND(I43,4)</f>
        <v>0.1528</v>
      </c>
      <c r="J44" s="267" t="n">
        <f aca="false">ROUND(J43,4)</f>
        <v>0.1528</v>
      </c>
    </row>
    <row r="65540" customFormat="false" ht="12.75" hidden="false" customHeight="true" outlineLevel="0" collapsed="false"/>
    <row r="65541" customFormat="false" ht="12.75" hidden="false" customHeight="true" outlineLevel="0" collapsed="false"/>
  </sheetData>
  <mergeCells count="20">
    <mergeCell ref="B2:J2"/>
    <mergeCell ref="B3:J3"/>
    <mergeCell ref="B5:E5"/>
    <mergeCell ref="B7:J7"/>
    <mergeCell ref="B9:J9"/>
    <mergeCell ref="B10:J10"/>
    <mergeCell ref="B11:J11"/>
    <mergeCell ref="B12:J12"/>
    <mergeCell ref="B13:J13"/>
    <mergeCell ref="B14:J14"/>
    <mergeCell ref="B15:J15"/>
    <mergeCell ref="B16:J16"/>
    <mergeCell ref="B18:C19"/>
    <mergeCell ref="B25:B28"/>
    <mergeCell ref="B29:C29"/>
    <mergeCell ref="B30:C30"/>
    <mergeCell ref="B32:C33"/>
    <mergeCell ref="B39:B42"/>
    <mergeCell ref="B43:C43"/>
    <mergeCell ref="B44:C44"/>
  </mergeCells>
  <printOptions headings="false" gridLines="false" gridLinesSet="true" horizontalCentered="true" verticalCentered="false"/>
  <pageMargins left="0.254861111111111" right="0.240972222222222" top="0.495833333333333" bottom="0.333333333333333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FFFFFF"/>
    <pageSetUpPr fitToPage="false"/>
  </sheetPr>
  <dimension ref="A2:AMD29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8.41015625" defaultRowHeight="14.25" zeroHeight="false" outlineLevelRow="0" outlineLevelCol="0"/>
  <cols>
    <col collapsed="false" customWidth="true" hidden="false" outlineLevel="0" max="2" min="2" style="1" width="32.38"/>
    <col collapsed="false" customWidth="true" hidden="false" outlineLevel="0" max="3" min="3" style="16" width="9.12"/>
    <col collapsed="false" customWidth="true" hidden="false" outlineLevel="0" max="4" min="4" style="16" width="12.25"/>
    <col collapsed="false" customWidth="true" hidden="false" outlineLevel="0" max="5" min="5" style="16" width="13.62"/>
    <col collapsed="false" customWidth="true" hidden="false" outlineLevel="0" max="6" min="6" style="16" width="7"/>
    <col collapsed="false" customWidth="true" hidden="false" outlineLevel="0" max="7" min="7" style="16" width="11.88"/>
    <col collapsed="false" customWidth="true" hidden="false" outlineLevel="0" max="8" min="8" style="16" width="13.25"/>
    <col collapsed="false" customWidth="true" hidden="false" outlineLevel="0" max="9" min="9" style="16" width="12.76"/>
    <col collapsed="false" customWidth="true" hidden="false" outlineLevel="0" max="11" min="10" style="16" width="13"/>
    <col collapsed="false" customWidth="true" hidden="false" outlineLevel="0" max="13" min="12" style="16" width="9.25"/>
    <col collapsed="false" customWidth="true" hidden="false" outlineLevel="0" max="248" min="14" style="16" width="10.62"/>
    <col collapsed="false" customWidth="true" hidden="false" outlineLevel="0" max="1018" min="249" style="1" width="10.5"/>
  </cols>
  <sheetData>
    <row r="2" customFormat="false" ht="24.75" hidden="false" customHeight="true" outlineLevel="0" collapsed="false">
      <c r="B2" s="44" t="str">
        <f aca="false">"DIVISÃO DOS CUSTOS POR ALÍQUOTA DE ISSQN - "&amp;'Valor da Contratação'!B7&amp;""</f>
        <v>DIVISÃO DOS CUSTOS POR ALÍQUOTA DE ISSQN - POLO VI</v>
      </c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</row>
    <row r="3" customFormat="false" ht="16.5" hidden="false" customHeight="true" outlineLevel="0" collapsed="false"/>
    <row r="4" customFormat="false" ht="45.75" hidden="false" customHeight="true" outlineLevel="0" collapsed="false">
      <c r="B4" s="273" t="s">
        <v>41</v>
      </c>
      <c r="C4" s="274" t="s">
        <v>323</v>
      </c>
      <c r="D4" s="274" t="s">
        <v>324</v>
      </c>
      <c r="E4" s="274" t="s">
        <v>325</v>
      </c>
      <c r="F4" s="275"/>
      <c r="G4" s="274" t="s">
        <v>326</v>
      </c>
      <c r="H4" s="274" t="s">
        <v>327</v>
      </c>
      <c r="I4" s="274" t="s">
        <v>328</v>
      </c>
      <c r="J4" s="274" t="s">
        <v>329</v>
      </c>
      <c r="K4" s="274" t="s">
        <v>330</v>
      </c>
      <c r="L4" s="274" t="s">
        <v>331</v>
      </c>
      <c r="M4" s="274" t="s">
        <v>332</v>
      </c>
    </row>
    <row r="5" customFormat="false" ht="15" hidden="false" customHeight="true" outlineLevel="0" collapsed="false">
      <c r="B5" s="125" t="str">
        <f aca="false">'Base Chapecó'!B7</f>
        <v>APS CAÇADOR</v>
      </c>
      <c r="C5" s="276" t="n">
        <f aca="false">VLOOKUP(B5,Unidades!$D$5:$G$28,4,)</f>
        <v>0.02</v>
      </c>
      <c r="D5" s="277" t="n">
        <f aca="false">'Base Chapecó'!AD7*12+'Base Chapecó'!AE7*4+'Base Chapecó'!AF7*2+'Base Chapecó'!AG7</f>
        <v>23613.0369860439</v>
      </c>
      <c r="E5" s="277" t="n">
        <f aca="false">'Base Chapecó'!AK7*12+'Base Chapecó'!AL7*4+'Base Chapecó'!AM7*2+'Base Chapecó'!AN7</f>
        <v>28862.2151080414</v>
      </c>
      <c r="G5" s="265" t="n">
        <v>0.015</v>
      </c>
      <c r="H5" s="278" t="n">
        <f aca="false">SUMIF(C$5:C$28,G5,D$5:D$28)</f>
        <v>0</v>
      </c>
      <c r="I5" s="278" t="n">
        <f aca="false">SUMIF(C$5:C$28,G5,E$5:E$28)</f>
        <v>0</v>
      </c>
      <c r="J5" s="278" t="n">
        <f aca="false">H5*4</f>
        <v>0</v>
      </c>
      <c r="K5" s="278" t="n">
        <f aca="false">I5*4</f>
        <v>0</v>
      </c>
      <c r="L5" s="279" t="n">
        <f aca="false">H5/H$14</f>
        <v>0</v>
      </c>
      <c r="M5" s="279" t="n">
        <f aca="false">I5/I$14</f>
        <v>0</v>
      </c>
    </row>
    <row r="6" customFormat="false" ht="15" hidden="false" customHeight="true" outlineLevel="0" collapsed="false">
      <c r="B6" s="125" t="str">
        <f aca="false">'Base Chapecó'!B8</f>
        <v>APS CAMPOS NOVOS</v>
      </c>
      <c r="C6" s="276" t="n">
        <f aca="false">VLOOKUP(B6,Unidades!$D$5:$G$28,4,)</f>
        <v>0.05</v>
      </c>
      <c r="D6" s="277" t="n">
        <f aca="false">'Base Chapecó'!AD8*12+'Base Chapecó'!AE8*4+'Base Chapecó'!AF8*2+'Base Chapecó'!AG8</f>
        <v>18899.0863849789</v>
      </c>
      <c r="E6" s="277" t="n">
        <f aca="false">'Base Chapecó'!AK8*12+'Base Chapecó'!AL8*4+'Base Chapecó'!AM8*2+'Base Chapecó'!AN8</f>
        <v>23858.2066523974</v>
      </c>
      <c r="G6" s="265" t="n">
        <v>0.02</v>
      </c>
      <c r="H6" s="278" t="n">
        <f aca="false">SUMIF(C$5:C$28,G6,D$5:D$28)</f>
        <v>153919.355583607</v>
      </c>
      <c r="I6" s="278" t="n">
        <f aca="false">SUMIF(C$5:C$28,G6,E$5:E$28)</f>
        <v>188135.628329843</v>
      </c>
      <c r="J6" s="278" t="n">
        <f aca="false">H6*4</f>
        <v>615677.422334427</v>
      </c>
      <c r="K6" s="278" t="n">
        <f aca="false">I6*4</f>
        <v>752542.51331937</v>
      </c>
      <c r="L6" s="279" t="n">
        <f aca="false">H6/H$14</f>
        <v>0.465509331336042</v>
      </c>
      <c r="M6" s="279" t="n">
        <f aca="false">I6/I$14</f>
        <v>0.461472917271001</v>
      </c>
    </row>
    <row r="7" customFormat="false" ht="15" hidden="false" customHeight="true" outlineLevel="0" collapsed="false">
      <c r="B7" s="125" t="str">
        <f aca="false">'Base Chapecó'!B9</f>
        <v>APS CAPINZAL</v>
      </c>
      <c r="C7" s="276" t="n">
        <f aca="false">VLOOKUP(B7,Unidades!$D$5:$G$28,4,)</f>
        <v>0.02</v>
      </c>
      <c r="D7" s="277" t="n">
        <f aca="false">'Base Chapecó'!AD9*12+'Base Chapecó'!AE9*4+'Base Chapecó'!AF9*2+'Base Chapecó'!AG9</f>
        <v>15894.189968846</v>
      </c>
      <c r="E7" s="277" t="n">
        <f aca="false">'Base Chapecó'!AK9*12+'Base Chapecó'!AL9*4+'Base Chapecó'!AM9*2+'Base Chapecó'!AN9</f>
        <v>19427.4683989205</v>
      </c>
      <c r="G7" s="265" t="n">
        <v>0.025</v>
      </c>
      <c r="H7" s="278" t="n">
        <f aca="false">SUMIF(C$5:C$28,G7,D$5:D$28)</f>
        <v>16980.9896527105</v>
      </c>
      <c r="I7" s="278" t="n">
        <f aca="false">SUMIF(C$5:C$28,G7,E$5:E$28)</f>
        <v>20866.2400852507</v>
      </c>
      <c r="J7" s="278" t="n">
        <f aca="false">H7*4</f>
        <v>67923.9586108421</v>
      </c>
      <c r="K7" s="278" t="n">
        <f aca="false">I7*4</f>
        <v>83464.9603410028</v>
      </c>
      <c r="L7" s="279" t="n">
        <f aca="false">H7/H$14</f>
        <v>0.0513568232447787</v>
      </c>
      <c r="M7" s="279" t="n">
        <f aca="false">I7/I$14</f>
        <v>0.0511822495829214</v>
      </c>
    </row>
    <row r="8" customFormat="false" ht="15" hidden="false" customHeight="true" outlineLevel="0" collapsed="false">
      <c r="B8" s="125" t="str">
        <f aca="false">'Base Chapecó'!B10</f>
        <v>APS CHAPECÓ</v>
      </c>
      <c r="C8" s="276" t="n">
        <f aca="false">VLOOKUP(B8,Unidades!$D$5:$G$28,4,)</f>
        <v>0.02</v>
      </c>
      <c r="D8" s="277" t="n">
        <f aca="false">'Base Chapecó'!AD10*12+'Base Chapecó'!AE10*4+'Base Chapecó'!AF10*2+'Base Chapecó'!AG10</f>
        <v>12818.0418016456</v>
      </c>
      <c r="E8" s="277" t="n">
        <f aca="false">'Base Chapecó'!AK10*12+'Base Chapecó'!AL10*4+'Base Chapecó'!AM10*2+'Base Chapecó'!AN10</f>
        <v>15667.4924941514</v>
      </c>
      <c r="G8" s="265" t="n">
        <v>0.03</v>
      </c>
      <c r="H8" s="278" t="n">
        <f aca="false">SUMIF(C$5:C$28,G8,D$5:D$28)</f>
        <v>104913.787425415</v>
      </c>
      <c r="I8" s="278" t="n">
        <f aca="false">SUMIF(C$5:C$28,G8,E$5:E$28)</f>
        <v>129610.492985358</v>
      </c>
      <c r="J8" s="278" t="n">
        <f aca="false">H8*4</f>
        <v>419655.149701661</v>
      </c>
      <c r="K8" s="278" t="n">
        <f aca="false">I8*4</f>
        <v>518441.971941432</v>
      </c>
      <c r="L8" s="279" t="n">
        <f aca="false">H8/H$14</f>
        <v>0.317298281604411</v>
      </c>
      <c r="M8" s="279" t="n">
        <f aca="false">I8/I$14</f>
        <v>0.317918157437053</v>
      </c>
    </row>
    <row r="9" s="29" customFormat="true" ht="15" hidden="false" customHeight="true" outlineLevel="0" collapsed="false">
      <c r="B9" s="125" t="str">
        <f aca="false">'Base Chapecó'!B11</f>
        <v>APS CONCÓRDIA</v>
      </c>
      <c r="C9" s="276" t="n">
        <f aca="false">VLOOKUP(B9,Unidades!$D$5:$G$28,4,)</f>
        <v>0.02</v>
      </c>
      <c r="D9" s="277" t="n">
        <f aca="false">'Base Chapecó'!AD11*12+'Base Chapecó'!AE11*4+'Base Chapecó'!AF11*2+'Base Chapecó'!AG11</f>
        <v>18406.5320516456</v>
      </c>
      <c r="E9" s="277" t="n">
        <f aca="false">'Base Chapecó'!AK11*12+'Base Chapecó'!AL11*4+'Base Chapecó'!AM11*2+'Base Chapecó'!AN11</f>
        <v>22498.3041267264</v>
      </c>
      <c r="G9" s="265" t="n">
        <v>0.035</v>
      </c>
      <c r="H9" s="278" t="n">
        <f aca="false">SUMIF(C$5:C$28,G9,D$5:D$28)</f>
        <v>0</v>
      </c>
      <c r="I9" s="278" t="n">
        <f aca="false">SUMIF(C$5:C$28,G9,E$5:E$28)</f>
        <v>0</v>
      </c>
      <c r="J9" s="278" t="n">
        <f aca="false">H9*4</f>
        <v>0</v>
      </c>
      <c r="K9" s="278" t="n">
        <f aca="false">I9*4</f>
        <v>0</v>
      </c>
      <c r="L9" s="279" t="n">
        <f aca="false">H9/H$14</f>
        <v>0</v>
      </c>
      <c r="M9" s="279" t="n">
        <f aca="false">I9/I$14</f>
        <v>0</v>
      </c>
      <c r="IO9" s="33"/>
    </row>
    <row r="10" s="29" customFormat="true" ht="15" hidden="false" customHeight="true" outlineLevel="0" collapsed="false">
      <c r="B10" s="125" t="str">
        <f aca="false">'Base Chapecó'!B12</f>
        <v>APS FRAIBURGO</v>
      </c>
      <c r="C10" s="276" t="n">
        <f aca="false">VLOOKUP(B10,Unidades!$D$5:$G$28,4,)</f>
        <v>0.02</v>
      </c>
      <c r="D10" s="277" t="n">
        <f aca="false">'Base Chapecó'!AD12*12+'Base Chapecó'!AE12*4+'Base Chapecó'!AF12*2+'Base Chapecó'!AG12</f>
        <v>15870.4259865776</v>
      </c>
      <c r="E10" s="277" t="n">
        <f aca="false">'Base Chapecó'!AK12*12+'Base Chapecó'!AL12*4+'Base Chapecó'!AM12*2+'Base Chapecó'!AN12</f>
        <v>19398.4216833938</v>
      </c>
      <c r="G10" s="265" t="n">
        <v>0.04</v>
      </c>
      <c r="H10" s="278" t="n">
        <f aca="false">SUMIF(C$5:C$28,G10,D$5:D$28)</f>
        <v>10841.656569911</v>
      </c>
      <c r="I10" s="278" t="n">
        <f aca="false">SUMIF(C$5:C$28,G10,E$5:E$28)</f>
        <v>13537.9765588478</v>
      </c>
      <c r="J10" s="278" t="n">
        <f aca="false">H10*4</f>
        <v>43366.6262796438</v>
      </c>
      <c r="K10" s="278" t="n">
        <f aca="false">I10*4</f>
        <v>54151.9062353912</v>
      </c>
      <c r="L10" s="279" t="n">
        <f aca="false">H10/H$14</f>
        <v>0.0327891984818821</v>
      </c>
      <c r="M10" s="279" t="n">
        <f aca="false">I10/I$14</f>
        <v>0.0332069453936969</v>
      </c>
      <c r="IO10" s="33"/>
    </row>
    <row r="11" customFormat="false" ht="15" hidden="false" customHeight="true" outlineLevel="0" collapsed="false">
      <c r="B11" s="125" t="str">
        <f aca="false">'Base Chapecó'!B13</f>
        <v>APS JOAÇABA</v>
      </c>
      <c r="C11" s="276" t="n">
        <f aca="false">VLOOKUP(B11,Unidades!$D$5:$G$28,4,)</f>
        <v>0.03</v>
      </c>
      <c r="D11" s="277" t="n">
        <f aca="false">'Base Chapecó'!AD13*12+'Base Chapecó'!AE13*4+'Base Chapecó'!AF13*2+'Base Chapecó'!AG13</f>
        <v>18899.0863849789</v>
      </c>
      <c r="E11" s="277" t="n">
        <f aca="false">'Base Chapecó'!AK13*12+'Base Chapecó'!AL13*4+'Base Chapecó'!AM13*2+'Base Chapecó'!AN13</f>
        <v>23347.931320003</v>
      </c>
      <c r="G11" s="265" t="n">
        <v>0.045</v>
      </c>
      <c r="H11" s="278" t="n">
        <f aca="false">SUMIF(C$5:C$28,G11,D$5:D$28)</f>
        <v>0</v>
      </c>
      <c r="I11" s="278" t="n">
        <f aca="false">SUMIF(C$5:C$28,G11,E$5:E$28)</f>
        <v>0</v>
      </c>
      <c r="J11" s="278" t="n">
        <f aca="false">H11*4</f>
        <v>0</v>
      </c>
      <c r="K11" s="278" t="n">
        <f aca="false">I11*4</f>
        <v>0</v>
      </c>
      <c r="L11" s="279" t="n">
        <f aca="false">H11/H$14</f>
        <v>0</v>
      </c>
      <c r="M11" s="279" t="n">
        <f aca="false">I11/I$14</f>
        <v>0</v>
      </c>
    </row>
    <row r="12" customFormat="false" ht="15" hidden="false" customHeight="true" outlineLevel="0" collapsed="false">
      <c r="B12" s="125" t="str">
        <f aca="false">'Base Chapecó'!B14</f>
        <v>APS MARAVILHA</v>
      </c>
      <c r="C12" s="276" t="n">
        <f aca="false">VLOOKUP(B12,Unidades!$D$5:$G$28,4,)</f>
        <v>0.04</v>
      </c>
      <c r="D12" s="277" t="n">
        <f aca="false">'Base Chapecó'!AD14*12+'Base Chapecó'!AE14*4+'Base Chapecó'!AF14*2+'Base Chapecó'!AG14</f>
        <v>10841.656569911</v>
      </c>
      <c r="E12" s="277" t="n">
        <f aca="false">'Base Chapecó'!AK14*12+'Base Chapecó'!AL14*4+'Base Chapecó'!AM14*2+'Base Chapecó'!AN14</f>
        <v>13537.9765588478</v>
      </c>
      <c r="G12" s="265" t="n">
        <v>0.05</v>
      </c>
      <c r="H12" s="278" t="n">
        <f aca="false">SUMIF(C$5:C$28,G12,D$5:D$28)</f>
        <v>43991.4077683565</v>
      </c>
      <c r="I12" s="278" t="n">
        <f aca="false">SUMIF(C$5:C$28,G12,E$5:E$28)</f>
        <v>55534.7531667733</v>
      </c>
      <c r="J12" s="278" t="n">
        <f aca="false">H12*4</f>
        <v>175965.631073426</v>
      </c>
      <c r="K12" s="278" t="n">
        <f aca="false">I12*4</f>
        <v>222139.012667093</v>
      </c>
      <c r="L12" s="279" t="n">
        <f aca="false">H12/H$14</f>
        <v>0.133046365332885</v>
      </c>
      <c r="M12" s="279" t="n">
        <f aca="false">I12/I$14</f>
        <v>0.136219730315327</v>
      </c>
    </row>
    <row r="13" customFormat="false" ht="15" hidden="false" customHeight="true" outlineLevel="0" collapsed="false">
      <c r="A13" s="16"/>
      <c r="B13" s="125" t="str">
        <f aca="false">'Base Chapecó'!B15</f>
        <v>APS PINHALZINHO</v>
      </c>
      <c r="C13" s="276" t="n">
        <f aca="false">VLOOKUP(B13,Unidades!$D$5:$G$28,4,)</f>
        <v>0.02</v>
      </c>
      <c r="D13" s="277" t="n">
        <f aca="false">'Base Chapecó'!AD15*12+'Base Chapecó'!AE15*4+'Base Chapecó'!AF15*2+'Base Chapecó'!AG15</f>
        <v>10841.656569911</v>
      </c>
      <c r="E13" s="277" t="n">
        <f aca="false">'Base Chapecó'!AK15*12+'Base Chapecó'!AL15*4+'Base Chapecó'!AM15*2+'Base Chapecó'!AN15</f>
        <v>13251.7568254022</v>
      </c>
      <c r="G13" s="17"/>
      <c r="IO13" s="16"/>
      <c r="IP13" s="16"/>
      <c r="IQ13" s="16"/>
      <c r="IR13" s="16"/>
      <c r="IS13" s="16"/>
      <c r="IT13" s="16"/>
      <c r="IU13" s="16"/>
      <c r="IV13" s="16"/>
      <c r="IW13" s="16"/>
      <c r="IX13" s="16"/>
      <c r="IY13" s="16"/>
      <c r="IZ13" s="16"/>
      <c r="JA13" s="16"/>
      <c r="JB13" s="16"/>
      <c r="JC13" s="16"/>
      <c r="JD13" s="16"/>
      <c r="JE13" s="16"/>
      <c r="JF13" s="16"/>
      <c r="JG13" s="16"/>
      <c r="JH13" s="16"/>
      <c r="JI13" s="16"/>
      <c r="JJ13" s="16"/>
      <c r="JK13" s="16"/>
      <c r="JL13" s="16"/>
      <c r="JM13" s="16"/>
      <c r="JN13" s="16"/>
      <c r="JO13" s="16"/>
      <c r="JP13" s="16"/>
      <c r="JQ13" s="16"/>
      <c r="JR13" s="16"/>
      <c r="JS13" s="16"/>
      <c r="JT13" s="16"/>
      <c r="JU13" s="16"/>
      <c r="JV13" s="16"/>
      <c r="JW13" s="16"/>
      <c r="JX13" s="16"/>
      <c r="JY13" s="16"/>
      <c r="JZ13" s="16"/>
      <c r="KA13" s="16"/>
      <c r="KB13" s="16"/>
      <c r="KC13" s="16"/>
      <c r="KD13" s="16"/>
      <c r="KE13" s="16"/>
      <c r="KF13" s="16"/>
      <c r="KG13" s="16"/>
      <c r="KH13" s="16"/>
      <c r="KI13" s="16"/>
      <c r="KJ13" s="16"/>
      <c r="KK13" s="16"/>
      <c r="KL13" s="16"/>
      <c r="KM13" s="16"/>
      <c r="KN13" s="16"/>
      <c r="KO13" s="16"/>
      <c r="KP13" s="16"/>
      <c r="KQ13" s="16"/>
      <c r="KR13" s="16"/>
      <c r="KS13" s="16"/>
      <c r="KT13" s="16"/>
      <c r="KU13" s="16"/>
      <c r="KV13" s="16"/>
      <c r="KW13" s="16"/>
      <c r="KX13" s="16"/>
      <c r="KY13" s="16"/>
      <c r="KZ13" s="16"/>
      <c r="LA13" s="16"/>
      <c r="LB13" s="16"/>
      <c r="LC13" s="16"/>
      <c r="LD13" s="16"/>
      <c r="LE13" s="16"/>
      <c r="LF13" s="16"/>
      <c r="LG13" s="16"/>
      <c r="LH13" s="16"/>
      <c r="LI13" s="16"/>
      <c r="LJ13" s="16"/>
      <c r="LK13" s="16"/>
      <c r="LL13" s="16"/>
      <c r="LM13" s="16"/>
      <c r="LN13" s="16"/>
      <c r="LO13" s="16"/>
      <c r="LP13" s="16"/>
      <c r="LQ13" s="16"/>
      <c r="LR13" s="16"/>
      <c r="LS13" s="16"/>
      <c r="LT13" s="16"/>
      <c r="LU13" s="16"/>
      <c r="LV13" s="16"/>
      <c r="LW13" s="16"/>
      <c r="LX13" s="16"/>
      <c r="LY13" s="16"/>
      <c r="LZ13" s="16"/>
      <c r="MA13" s="16"/>
      <c r="MB13" s="16"/>
      <c r="MC13" s="16"/>
      <c r="MD13" s="16"/>
      <c r="ME13" s="16"/>
      <c r="MF13" s="16"/>
      <c r="MG13" s="16"/>
      <c r="MH13" s="16"/>
      <c r="MI13" s="16"/>
      <c r="MJ13" s="16"/>
      <c r="MK13" s="16"/>
      <c r="ML13" s="16"/>
      <c r="MM13" s="16"/>
      <c r="MN13" s="16"/>
      <c r="MO13" s="16"/>
      <c r="MP13" s="16"/>
      <c r="MQ13" s="16"/>
      <c r="MR13" s="16"/>
      <c r="MS13" s="16"/>
      <c r="MT13" s="16"/>
      <c r="MU13" s="16"/>
      <c r="MV13" s="16"/>
      <c r="MW13" s="16"/>
      <c r="MX13" s="16"/>
      <c r="MY13" s="16"/>
      <c r="MZ13" s="16"/>
      <c r="NA13" s="16"/>
      <c r="NB13" s="16"/>
      <c r="NC13" s="16"/>
      <c r="ND13" s="16"/>
      <c r="NE13" s="16"/>
      <c r="NF13" s="16"/>
      <c r="NG13" s="16"/>
      <c r="NH13" s="16"/>
      <c r="NI13" s="16"/>
      <c r="NJ13" s="16"/>
      <c r="NK13" s="16"/>
      <c r="NL13" s="16"/>
      <c r="NM13" s="16"/>
      <c r="NN13" s="16"/>
      <c r="NO13" s="16"/>
      <c r="NP13" s="16"/>
      <c r="NQ13" s="16"/>
      <c r="NR13" s="16"/>
      <c r="NS13" s="16"/>
      <c r="NT13" s="16"/>
      <c r="NU13" s="16"/>
      <c r="NV13" s="16"/>
      <c r="NW13" s="16"/>
      <c r="NX13" s="16"/>
      <c r="NY13" s="16"/>
      <c r="NZ13" s="16"/>
      <c r="OA13" s="16"/>
      <c r="OB13" s="16"/>
      <c r="OC13" s="16"/>
      <c r="OD13" s="16"/>
      <c r="OE13" s="16"/>
      <c r="OF13" s="16"/>
      <c r="OG13" s="16"/>
      <c r="OH13" s="16"/>
      <c r="OI13" s="16"/>
      <c r="OJ13" s="16"/>
      <c r="OK13" s="16"/>
      <c r="OL13" s="16"/>
      <c r="OM13" s="16"/>
      <c r="ON13" s="16"/>
      <c r="OO13" s="16"/>
      <c r="OP13" s="16"/>
      <c r="OQ13" s="16"/>
      <c r="OR13" s="16"/>
      <c r="OS13" s="16"/>
      <c r="OT13" s="16"/>
      <c r="OU13" s="16"/>
      <c r="OV13" s="16"/>
      <c r="OW13" s="16"/>
      <c r="OX13" s="16"/>
      <c r="OY13" s="16"/>
      <c r="OZ13" s="16"/>
      <c r="PA13" s="16"/>
      <c r="PB13" s="16"/>
      <c r="PC13" s="16"/>
      <c r="PD13" s="16"/>
      <c r="PE13" s="16"/>
      <c r="PF13" s="16"/>
      <c r="PG13" s="16"/>
      <c r="PH13" s="16"/>
      <c r="PI13" s="16"/>
      <c r="PJ13" s="16"/>
      <c r="PK13" s="16"/>
      <c r="PL13" s="16"/>
      <c r="PM13" s="16"/>
      <c r="PN13" s="16"/>
      <c r="PO13" s="16"/>
      <c r="PP13" s="16"/>
      <c r="PQ13" s="16"/>
      <c r="PR13" s="16"/>
      <c r="PS13" s="16"/>
      <c r="PT13" s="16"/>
      <c r="PU13" s="16"/>
      <c r="PV13" s="16"/>
      <c r="PW13" s="16"/>
      <c r="PX13" s="16"/>
      <c r="PY13" s="16"/>
      <c r="PZ13" s="16"/>
      <c r="QA13" s="16"/>
      <c r="QB13" s="16"/>
      <c r="QC13" s="16"/>
      <c r="QD13" s="16"/>
      <c r="QE13" s="16"/>
      <c r="QF13" s="16"/>
      <c r="QG13" s="16"/>
      <c r="QH13" s="16"/>
      <c r="QI13" s="16"/>
      <c r="QJ13" s="16"/>
      <c r="QK13" s="16"/>
      <c r="QL13" s="16"/>
      <c r="QM13" s="16"/>
      <c r="QN13" s="16"/>
      <c r="QO13" s="16"/>
      <c r="QP13" s="16"/>
      <c r="QQ13" s="16"/>
      <c r="QR13" s="16"/>
      <c r="QS13" s="16"/>
      <c r="QT13" s="16"/>
      <c r="QU13" s="16"/>
      <c r="QV13" s="16"/>
      <c r="QW13" s="16"/>
      <c r="QX13" s="16"/>
      <c r="QY13" s="16"/>
      <c r="QZ13" s="16"/>
      <c r="RA13" s="16"/>
      <c r="RB13" s="16"/>
      <c r="RC13" s="16"/>
      <c r="RD13" s="16"/>
      <c r="RE13" s="16"/>
      <c r="RF13" s="16"/>
      <c r="RG13" s="16"/>
      <c r="RH13" s="16"/>
      <c r="RI13" s="16"/>
      <c r="RJ13" s="16"/>
      <c r="RK13" s="16"/>
      <c r="RL13" s="16"/>
      <c r="RM13" s="16"/>
      <c r="RN13" s="16"/>
      <c r="RO13" s="16"/>
      <c r="RP13" s="16"/>
      <c r="RQ13" s="16"/>
      <c r="RR13" s="16"/>
      <c r="RS13" s="16"/>
      <c r="RT13" s="16"/>
      <c r="RU13" s="16"/>
      <c r="RV13" s="16"/>
      <c r="RW13" s="16"/>
      <c r="RX13" s="16"/>
      <c r="RY13" s="16"/>
      <c r="RZ13" s="16"/>
      <c r="SA13" s="16"/>
      <c r="SB13" s="16"/>
      <c r="SC13" s="16"/>
      <c r="SD13" s="16"/>
      <c r="SE13" s="16"/>
      <c r="SF13" s="16"/>
      <c r="SG13" s="16"/>
      <c r="SH13" s="16"/>
      <c r="SI13" s="16"/>
      <c r="SJ13" s="16"/>
      <c r="SK13" s="16"/>
      <c r="SL13" s="16"/>
      <c r="SM13" s="16"/>
      <c r="SN13" s="16"/>
      <c r="SO13" s="16"/>
      <c r="SP13" s="16"/>
      <c r="SQ13" s="16"/>
      <c r="SR13" s="16"/>
      <c r="SS13" s="16"/>
      <c r="ST13" s="16"/>
      <c r="SU13" s="16"/>
      <c r="SV13" s="16"/>
      <c r="SW13" s="16"/>
      <c r="SX13" s="16"/>
      <c r="SY13" s="16"/>
      <c r="SZ13" s="16"/>
      <c r="TA13" s="16"/>
      <c r="TB13" s="16"/>
      <c r="TC13" s="16"/>
      <c r="TD13" s="16"/>
      <c r="TE13" s="16"/>
      <c r="TF13" s="16"/>
      <c r="TG13" s="16"/>
      <c r="TH13" s="16"/>
      <c r="TI13" s="16"/>
      <c r="TJ13" s="16"/>
      <c r="TK13" s="16"/>
      <c r="TL13" s="16"/>
      <c r="TM13" s="16"/>
      <c r="TN13" s="16"/>
      <c r="TO13" s="16"/>
      <c r="TP13" s="16"/>
      <c r="TQ13" s="16"/>
      <c r="TR13" s="16"/>
      <c r="TS13" s="16"/>
      <c r="TT13" s="16"/>
      <c r="TU13" s="16"/>
      <c r="TV13" s="16"/>
      <c r="TW13" s="16"/>
      <c r="TX13" s="16"/>
      <c r="TY13" s="16"/>
      <c r="TZ13" s="16"/>
      <c r="UA13" s="16"/>
      <c r="UB13" s="16"/>
      <c r="UC13" s="16"/>
      <c r="UD13" s="16"/>
      <c r="UE13" s="16"/>
      <c r="UF13" s="16"/>
      <c r="UG13" s="16"/>
      <c r="UH13" s="16"/>
      <c r="UI13" s="16"/>
      <c r="UJ13" s="16"/>
      <c r="UK13" s="16"/>
      <c r="UL13" s="16"/>
      <c r="UM13" s="16"/>
      <c r="UN13" s="16"/>
      <c r="UO13" s="16"/>
      <c r="UP13" s="16"/>
      <c r="UQ13" s="16"/>
      <c r="UR13" s="16"/>
      <c r="US13" s="16"/>
      <c r="UT13" s="16"/>
      <c r="UU13" s="16"/>
      <c r="UV13" s="16"/>
      <c r="UW13" s="16"/>
      <c r="UX13" s="16"/>
      <c r="UY13" s="16"/>
      <c r="UZ13" s="16"/>
      <c r="VA13" s="16"/>
      <c r="VB13" s="16"/>
      <c r="VC13" s="16"/>
      <c r="VD13" s="16"/>
      <c r="VE13" s="16"/>
      <c r="VF13" s="16"/>
      <c r="VG13" s="16"/>
      <c r="VH13" s="16"/>
      <c r="VI13" s="16"/>
      <c r="VJ13" s="16"/>
      <c r="VK13" s="16"/>
      <c r="VL13" s="16"/>
      <c r="VM13" s="16"/>
      <c r="VN13" s="16"/>
      <c r="VO13" s="16"/>
      <c r="VP13" s="16"/>
      <c r="VQ13" s="16"/>
      <c r="VR13" s="16"/>
      <c r="VS13" s="16"/>
      <c r="VT13" s="16"/>
      <c r="VU13" s="16"/>
      <c r="VV13" s="16"/>
      <c r="VW13" s="16"/>
      <c r="VX13" s="16"/>
      <c r="VY13" s="16"/>
      <c r="VZ13" s="16"/>
      <c r="WA13" s="16"/>
      <c r="WB13" s="16"/>
      <c r="WC13" s="16"/>
      <c r="WD13" s="16"/>
      <c r="WE13" s="16"/>
      <c r="WF13" s="16"/>
      <c r="WG13" s="16"/>
      <c r="WH13" s="16"/>
      <c r="WI13" s="16"/>
      <c r="WJ13" s="16"/>
      <c r="WK13" s="16"/>
      <c r="WL13" s="16"/>
      <c r="WM13" s="16"/>
      <c r="WN13" s="16"/>
      <c r="WO13" s="16"/>
      <c r="WP13" s="16"/>
      <c r="WQ13" s="16"/>
      <c r="WR13" s="16"/>
      <c r="WS13" s="16"/>
      <c r="WT13" s="16"/>
      <c r="WU13" s="16"/>
      <c r="WV13" s="16"/>
      <c r="WW13" s="16"/>
      <c r="WX13" s="16"/>
      <c r="WY13" s="16"/>
      <c r="WZ13" s="16"/>
      <c r="XA13" s="16"/>
      <c r="XB13" s="16"/>
      <c r="XC13" s="16"/>
      <c r="XD13" s="16"/>
      <c r="XE13" s="16"/>
      <c r="XF13" s="16"/>
      <c r="XG13" s="16"/>
      <c r="XH13" s="16"/>
      <c r="XI13" s="16"/>
      <c r="XJ13" s="16"/>
      <c r="XK13" s="16"/>
      <c r="XL13" s="16"/>
      <c r="XM13" s="16"/>
      <c r="XN13" s="16"/>
      <c r="XO13" s="16"/>
      <c r="XP13" s="16"/>
      <c r="XQ13" s="16"/>
      <c r="XR13" s="16"/>
      <c r="XS13" s="16"/>
      <c r="XT13" s="16"/>
      <c r="XU13" s="16"/>
      <c r="XV13" s="16"/>
      <c r="XW13" s="16"/>
      <c r="XX13" s="16"/>
      <c r="XY13" s="16"/>
      <c r="XZ13" s="16"/>
      <c r="YA13" s="16"/>
      <c r="YB13" s="16"/>
      <c r="YC13" s="16"/>
      <c r="YD13" s="16"/>
      <c r="YE13" s="16"/>
      <c r="YF13" s="16"/>
      <c r="YG13" s="16"/>
      <c r="YH13" s="16"/>
      <c r="YI13" s="16"/>
      <c r="YJ13" s="16"/>
      <c r="YK13" s="16"/>
      <c r="YL13" s="16"/>
      <c r="YM13" s="16"/>
      <c r="YN13" s="16"/>
      <c r="YO13" s="16"/>
      <c r="YP13" s="16"/>
      <c r="YQ13" s="16"/>
      <c r="YR13" s="16"/>
      <c r="YS13" s="16"/>
      <c r="YT13" s="16"/>
      <c r="YU13" s="16"/>
      <c r="YV13" s="16"/>
      <c r="YW13" s="16"/>
      <c r="YX13" s="16"/>
      <c r="YY13" s="16"/>
      <c r="YZ13" s="16"/>
      <c r="ZA13" s="16"/>
      <c r="ZB13" s="16"/>
      <c r="ZC13" s="16"/>
      <c r="ZD13" s="16"/>
      <c r="ZE13" s="16"/>
      <c r="ZF13" s="16"/>
      <c r="ZG13" s="16"/>
      <c r="ZH13" s="16"/>
      <c r="ZI13" s="16"/>
      <c r="ZJ13" s="16"/>
      <c r="ZK13" s="16"/>
      <c r="ZL13" s="16"/>
      <c r="ZM13" s="16"/>
      <c r="ZN13" s="16"/>
      <c r="ZO13" s="16"/>
      <c r="ZP13" s="16"/>
      <c r="ZQ13" s="16"/>
      <c r="ZR13" s="16"/>
      <c r="ZS13" s="16"/>
      <c r="ZT13" s="16"/>
      <c r="ZU13" s="16"/>
      <c r="ZV13" s="16"/>
      <c r="ZW13" s="16"/>
      <c r="ZX13" s="16"/>
      <c r="ZY13" s="16"/>
      <c r="ZZ13" s="16"/>
      <c r="AAA13" s="16"/>
      <c r="AAB13" s="16"/>
      <c r="AAC13" s="16"/>
      <c r="AAD13" s="16"/>
      <c r="AAE13" s="16"/>
      <c r="AAF13" s="16"/>
      <c r="AAG13" s="16"/>
      <c r="AAH13" s="16"/>
      <c r="AAI13" s="16"/>
      <c r="AAJ13" s="16"/>
      <c r="AAK13" s="16"/>
      <c r="AAL13" s="16"/>
      <c r="AAM13" s="16"/>
      <c r="AAN13" s="16"/>
      <c r="AAO13" s="16"/>
      <c r="AAP13" s="16"/>
      <c r="AAQ13" s="16"/>
      <c r="AAR13" s="16"/>
      <c r="AAS13" s="16"/>
      <c r="AAT13" s="16"/>
      <c r="AAU13" s="16"/>
      <c r="AAV13" s="16"/>
      <c r="AAW13" s="16"/>
      <c r="AAX13" s="16"/>
      <c r="AAY13" s="16"/>
      <c r="AAZ13" s="16"/>
      <c r="ABA13" s="16"/>
      <c r="ABB13" s="16"/>
      <c r="ABC13" s="16"/>
      <c r="ABD13" s="16"/>
      <c r="ABE13" s="16"/>
      <c r="ABF13" s="16"/>
      <c r="ABG13" s="16"/>
      <c r="ABH13" s="16"/>
      <c r="ABI13" s="16"/>
      <c r="ABJ13" s="16"/>
      <c r="ABK13" s="16"/>
      <c r="ABL13" s="16"/>
      <c r="ABM13" s="16"/>
      <c r="ABN13" s="16"/>
      <c r="ABO13" s="16"/>
      <c r="ABP13" s="16"/>
      <c r="ABQ13" s="16"/>
      <c r="ABR13" s="16"/>
      <c r="ABS13" s="16"/>
      <c r="ABT13" s="16"/>
      <c r="ABU13" s="16"/>
      <c r="ABV13" s="16"/>
      <c r="ABW13" s="16"/>
      <c r="ABX13" s="16"/>
      <c r="ABY13" s="16"/>
      <c r="ABZ13" s="16"/>
      <c r="ACA13" s="16"/>
      <c r="ACB13" s="16"/>
      <c r="ACC13" s="16"/>
      <c r="ACD13" s="16"/>
      <c r="ACE13" s="16"/>
      <c r="ACF13" s="16"/>
      <c r="ACG13" s="16"/>
      <c r="ACH13" s="16"/>
      <c r="ACI13" s="16"/>
      <c r="ACJ13" s="16"/>
      <c r="ACK13" s="16"/>
      <c r="ACL13" s="16"/>
      <c r="ACM13" s="16"/>
      <c r="ACN13" s="16"/>
      <c r="ACO13" s="16"/>
      <c r="ACP13" s="16"/>
      <c r="ACQ13" s="16"/>
      <c r="ACR13" s="16"/>
      <c r="ACS13" s="16"/>
      <c r="ACT13" s="16"/>
      <c r="ACU13" s="16"/>
      <c r="ACV13" s="16"/>
      <c r="ACW13" s="16"/>
      <c r="ACX13" s="16"/>
      <c r="ACY13" s="16"/>
      <c r="ACZ13" s="16"/>
      <c r="ADA13" s="16"/>
      <c r="ADB13" s="16"/>
      <c r="ADC13" s="16"/>
      <c r="ADD13" s="16"/>
      <c r="ADE13" s="16"/>
      <c r="ADF13" s="16"/>
      <c r="ADG13" s="16"/>
      <c r="ADH13" s="16"/>
      <c r="ADI13" s="16"/>
      <c r="ADJ13" s="16"/>
      <c r="ADK13" s="16"/>
      <c r="ADL13" s="16"/>
      <c r="ADM13" s="16"/>
      <c r="ADN13" s="16"/>
      <c r="ADO13" s="16"/>
      <c r="ADP13" s="16"/>
      <c r="ADQ13" s="16"/>
      <c r="ADR13" s="16"/>
      <c r="ADS13" s="16"/>
      <c r="ADT13" s="16"/>
      <c r="ADU13" s="16"/>
      <c r="ADV13" s="16"/>
      <c r="ADW13" s="16"/>
      <c r="ADX13" s="16"/>
      <c r="ADY13" s="16"/>
      <c r="ADZ13" s="16"/>
      <c r="AEA13" s="16"/>
      <c r="AEB13" s="16"/>
      <c r="AEC13" s="16"/>
      <c r="AED13" s="16"/>
      <c r="AEE13" s="16"/>
      <c r="AEF13" s="16"/>
      <c r="AEG13" s="16"/>
      <c r="AEH13" s="16"/>
      <c r="AEI13" s="16"/>
      <c r="AEJ13" s="16"/>
      <c r="AEK13" s="16"/>
      <c r="AEL13" s="16"/>
      <c r="AEM13" s="16"/>
      <c r="AEN13" s="16"/>
      <c r="AEO13" s="16"/>
      <c r="AEP13" s="16"/>
      <c r="AEQ13" s="16"/>
      <c r="AER13" s="16"/>
      <c r="AES13" s="16"/>
      <c r="AET13" s="16"/>
      <c r="AEU13" s="16"/>
      <c r="AEV13" s="16"/>
      <c r="AEW13" s="16"/>
      <c r="AEX13" s="16"/>
      <c r="AEY13" s="16"/>
      <c r="AEZ13" s="16"/>
      <c r="AFA13" s="16"/>
      <c r="AFB13" s="16"/>
      <c r="AFC13" s="16"/>
      <c r="AFD13" s="16"/>
      <c r="AFE13" s="16"/>
      <c r="AFF13" s="16"/>
      <c r="AFG13" s="16"/>
      <c r="AFH13" s="16"/>
      <c r="AFI13" s="16"/>
      <c r="AFJ13" s="16"/>
      <c r="AFK13" s="16"/>
      <c r="AFL13" s="16"/>
      <c r="AFM13" s="16"/>
      <c r="AFN13" s="16"/>
      <c r="AFO13" s="16"/>
      <c r="AFP13" s="16"/>
      <c r="AFQ13" s="16"/>
      <c r="AFR13" s="16"/>
      <c r="AFS13" s="16"/>
      <c r="AFT13" s="16"/>
      <c r="AFU13" s="16"/>
      <c r="AFV13" s="16"/>
      <c r="AFW13" s="16"/>
      <c r="AFX13" s="16"/>
      <c r="AFY13" s="16"/>
      <c r="AFZ13" s="16"/>
      <c r="AGA13" s="16"/>
      <c r="AGB13" s="16"/>
      <c r="AGC13" s="16"/>
      <c r="AGD13" s="16"/>
      <c r="AGE13" s="16"/>
      <c r="AGF13" s="16"/>
      <c r="AGG13" s="16"/>
      <c r="AGH13" s="16"/>
      <c r="AGI13" s="16"/>
      <c r="AGJ13" s="16"/>
      <c r="AGK13" s="16"/>
      <c r="AGL13" s="16"/>
      <c r="AGM13" s="16"/>
      <c r="AGN13" s="16"/>
      <c r="AGO13" s="16"/>
      <c r="AGP13" s="16"/>
      <c r="AGQ13" s="16"/>
      <c r="AGR13" s="16"/>
      <c r="AGS13" s="16"/>
      <c r="AGT13" s="16"/>
      <c r="AGU13" s="16"/>
      <c r="AGV13" s="16"/>
      <c r="AGW13" s="16"/>
      <c r="AGX13" s="16"/>
      <c r="AGY13" s="16"/>
      <c r="AGZ13" s="16"/>
      <c r="AHA13" s="16"/>
      <c r="AHB13" s="16"/>
      <c r="AHC13" s="16"/>
      <c r="AHD13" s="16"/>
      <c r="AHE13" s="16"/>
      <c r="AHF13" s="16"/>
      <c r="AHG13" s="16"/>
      <c r="AHH13" s="16"/>
      <c r="AHI13" s="16"/>
      <c r="AHJ13" s="16"/>
      <c r="AHK13" s="16"/>
      <c r="AHL13" s="16"/>
      <c r="AHM13" s="16"/>
      <c r="AHN13" s="16"/>
      <c r="AHO13" s="16"/>
      <c r="AHP13" s="16"/>
      <c r="AHQ13" s="16"/>
      <c r="AHR13" s="16"/>
      <c r="AHS13" s="16"/>
      <c r="AHT13" s="16"/>
      <c r="AHU13" s="16"/>
      <c r="AHV13" s="16"/>
      <c r="AHW13" s="16"/>
      <c r="AHX13" s="16"/>
      <c r="AHY13" s="16"/>
      <c r="AHZ13" s="16"/>
      <c r="AIA13" s="16"/>
      <c r="AIB13" s="16"/>
      <c r="AIC13" s="16"/>
      <c r="AID13" s="16"/>
      <c r="AIE13" s="16"/>
      <c r="AIF13" s="16"/>
      <c r="AIG13" s="16"/>
      <c r="AIH13" s="16"/>
      <c r="AII13" s="16"/>
      <c r="AIJ13" s="16"/>
      <c r="AIK13" s="16"/>
      <c r="AIL13" s="16"/>
      <c r="AIM13" s="16"/>
      <c r="AIN13" s="16"/>
      <c r="AIO13" s="16"/>
      <c r="AIP13" s="16"/>
      <c r="AIQ13" s="16"/>
      <c r="AIR13" s="16"/>
      <c r="AIS13" s="16"/>
      <c r="AIT13" s="16"/>
      <c r="AIU13" s="16"/>
      <c r="AIV13" s="16"/>
      <c r="AIW13" s="16"/>
      <c r="AIX13" s="16"/>
      <c r="AIY13" s="16"/>
      <c r="AIZ13" s="16"/>
      <c r="AJA13" s="16"/>
      <c r="AJB13" s="16"/>
      <c r="AJC13" s="16"/>
      <c r="AJD13" s="16"/>
      <c r="AJE13" s="16"/>
      <c r="AJF13" s="16"/>
      <c r="AJG13" s="16"/>
      <c r="AJH13" s="16"/>
      <c r="AJI13" s="16"/>
      <c r="AJJ13" s="16"/>
      <c r="AJK13" s="16"/>
      <c r="AJL13" s="16"/>
      <c r="AJM13" s="16"/>
      <c r="AJN13" s="16"/>
      <c r="AJO13" s="16"/>
      <c r="AJP13" s="16"/>
      <c r="AJQ13" s="16"/>
      <c r="AJR13" s="16"/>
      <c r="AJS13" s="16"/>
      <c r="AJT13" s="16"/>
      <c r="AJU13" s="16"/>
      <c r="AJV13" s="16"/>
      <c r="AJW13" s="16"/>
      <c r="AJX13" s="16"/>
      <c r="AJY13" s="16"/>
      <c r="AJZ13" s="16"/>
      <c r="AKA13" s="16"/>
      <c r="AKB13" s="16"/>
      <c r="AKC13" s="16"/>
      <c r="AKD13" s="16"/>
      <c r="AKE13" s="16"/>
      <c r="AKF13" s="16"/>
      <c r="AKG13" s="16"/>
      <c r="AKH13" s="16"/>
      <c r="AKI13" s="16"/>
      <c r="AKJ13" s="16"/>
      <c r="AKK13" s="16"/>
      <c r="AKL13" s="16"/>
      <c r="AKM13" s="16"/>
      <c r="AKN13" s="16"/>
      <c r="AKO13" s="16"/>
      <c r="AKP13" s="16"/>
      <c r="AKQ13" s="16"/>
      <c r="AKR13" s="16"/>
      <c r="AKS13" s="16"/>
      <c r="AKT13" s="16"/>
      <c r="AKU13" s="16"/>
      <c r="AKV13" s="16"/>
      <c r="AKW13" s="16"/>
      <c r="AKX13" s="16"/>
      <c r="AKY13" s="16"/>
      <c r="AKZ13" s="16"/>
      <c r="ALA13" s="16"/>
      <c r="ALB13" s="16"/>
      <c r="ALC13" s="16"/>
      <c r="ALD13" s="16"/>
      <c r="ALE13" s="16"/>
      <c r="ALF13" s="16"/>
      <c r="ALG13" s="16"/>
      <c r="ALH13" s="16"/>
      <c r="ALI13" s="16"/>
      <c r="ALJ13" s="16"/>
      <c r="ALK13" s="16"/>
      <c r="ALL13" s="16"/>
      <c r="ALM13" s="16"/>
      <c r="ALN13" s="16"/>
      <c r="ALO13" s="16"/>
      <c r="ALP13" s="16"/>
      <c r="ALQ13" s="16"/>
      <c r="ALR13" s="16"/>
      <c r="ALS13" s="16"/>
      <c r="ALT13" s="16"/>
      <c r="ALU13" s="16"/>
      <c r="ALV13" s="16"/>
      <c r="ALW13" s="16"/>
      <c r="ALX13" s="16"/>
      <c r="ALY13" s="16"/>
      <c r="ALZ13" s="16"/>
      <c r="AMA13" s="16"/>
      <c r="AMB13" s="16"/>
      <c r="AMC13" s="16"/>
      <c r="AMD13" s="16"/>
    </row>
    <row r="14" customFormat="false" ht="15" hidden="false" customHeight="true" outlineLevel="0" collapsed="false">
      <c r="A14" s="16"/>
      <c r="B14" s="125" t="str">
        <f aca="false">'Base Chapecó'!B16</f>
        <v>APS SÃO MIGUEL D OESTE</v>
      </c>
      <c r="C14" s="276" t="n">
        <f aca="false">VLOOKUP(B14,Unidades!$D$5:$G$28,4,)</f>
        <v>0.025</v>
      </c>
      <c r="D14" s="277" t="n">
        <f aca="false">'Base Chapecó'!AD16*12+'Base Chapecó'!AE16*4+'Base Chapecó'!AF16*2+'Base Chapecó'!AG16</f>
        <v>16980.9896527105</v>
      </c>
      <c r="E14" s="277" t="n">
        <f aca="false">'Base Chapecó'!AK16*12+'Base Chapecó'!AL16*4+'Base Chapecó'!AM16*2+'Base Chapecó'!AN16</f>
        <v>20866.2400852507</v>
      </c>
      <c r="G14" s="274" t="s">
        <v>101</v>
      </c>
      <c r="H14" s="280" t="n">
        <f aca="false">SUM(H5:H12)</f>
        <v>330647.197</v>
      </c>
      <c r="I14" s="280" t="n">
        <f aca="false">SUM(I5:I12)</f>
        <v>407685.091126072</v>
      </c>
      <c r="J14" s="280" t="n">
        <f aca="false">SUM(J5:J12)</f>
        <v>1322588.788</v>
      </c>
      <c r="K14" s="280" t="n">
        <f aca="false">SUM(K5:K12)</f>
        <v>1630740.36450429</v>
      </c>
      <c r="L14" s="281" t="n">
        <f aca="false">SUM(L5:L12)</f>
        <v>1</v>
      </c>
      <c r="M14" s="281" t="n">
        <f aca="false">SUM(M5:M12)</f>
        <v>1</v>
      </c>
      <c r="IO14" s="16"/>
      <c r="IP14" s="16"/>
      <c r="IQ14" s="16"/>
      <c r="IR14" s="16"/>
      <c r="IS14" s="16"/>
      <c r="IT14" s="16"/>
      <c r="IU14" s="16"/>
      <c r="IV14" s="16"/>
      <c r="IW14" s="16"/>
      <c r="IX14" s="16"/>
      <c r="IY14" s="16"/>
      <c r="IZ14" s="16"/>
      <c r="JA14" s="16"/>
      <c r="JB14" s="16"/>
      <c r="JC14" s="16"/>
      <c r="JD14" s="16"/>
      <c r="JE14" s="16"/>
      <c r="JF14" s="16"/>
      <c r="JG14" s="16"/>
      <c r="JH14" s="16"/>
      <c r="JI14" s="16"/>
      <c r="JJ14" s="16"/>
      <c r="JK14" s="16"/>
      <c r="JL14" s="16"/>
      <c r="JM14" s="16"/>
      <c r="JN14" s="16"/>
      <c r="JO14" s="16"/>
      <c r="JP14" s="16"/>
      <c r="JQ14" s="16"/>
      <c r="JR14" s="16"/>
      <c r="JS14" s="16"/>
      <c r="JT14" s="16"/>
      <c r="JU14" s="16"/>
      <c r="JV14" s="16"/>
      <c r="JW14" s="16"/>
      <c r="JX14" s="16"/>
      <c r="JY14" s="16"/>
      <c r="JZ14" s="16"/>
      <c r="KA14" s="16"/>
      <c r="KB14" s="16"/>
      <c r="KC14" s="16"/>
      <c r="KD14" s="16"/>
      <c r="KE14" s="16"/>
      <c r="KF14" s="16"/>
      <c r="KG14" s="16"/>
      <c r="KH14" s="16"/>
      <c r="KI14" s="16"/>
      <c r="KJ14" s="16"/>
      <c r="KK14" s="16"/>
      <c r="KL14" s="16"/>
      <c r="KM14" s="16"/>
      <c r="KN14" s="16"/>
      <c r="KO14" s="16"/>
      <c r="KP14" s="16"/>
      <c r="KQ14" s="16"/>
      <c r="KR14" s="16"/>
      <c r="KS14" s="16"/>
      <c r="KT14" s="16"/>
      <c r="KU14" s="16"/>
      <c r="KV14" s="16"/>
      <c r="KW14" s="16"/>
      <c r="KX14" s="16"/>
      <c r="KY14" s="16"/>
      <c r="KZ14" s="16"/>
      <c r="LA14" s="16"/>
      <c r="LB14" s="16"/>
      <c r="LC14" s="16"/>
      <c r="LD14" s="16"/>
      <c r="LE14" s="16"/>
      <c r="LF14" s="16"/>
      <c r="LG14" s="16"/>
      <c r="LH14" s="16"/>
      <c r="LI14" s="16"/>
      <c r="LJ14" s="16"/>
      <c r="LK14" s="16"/>
      <c r="LL14" s="16"/>
      <c r="LM14" s="16"/>
      <c r="LN14" s="16"/>
      <c r="LO14" s="16"/>
      <c r="LP14" s="16"/>
      <c r="LQ14" s="16"/>
      <c r="LR14" s="16"/>
      <c r="LS14" s="16"/>
      <c r="LT14" s="16"/>
      <c r="LU14" s="16"/>
      <c r="LV14" s="16"/>
      <c r="LW14" s="16"/>
      <c r="LX14" s="16"/>
      <c r="LY14" s="16"/>
      <c r="LZ14" s="16"/>
      <c r="MA14" s="16"/>
      <c r="MB14" s="16"/>
      <c r="MC14" s="16"/>
      <c r="MD14" s="16"/>
      <c r="ME14" s="16"/>
      <c r="MF14" s="16"/>
      <c r="MG14" s="16"/>
      <c r="MH14" s="16"/>
      <c r="MI14" s="16"/>
      <c r="MJ14" s="16"/>
      <c r="MK14" s="16"/>
      <c r="ML14" s="16"/>
      <c r="MM14" s="16"/>
      <c r="MN14" s="16"/>
      <c r="MO14" s="16"/>
      <c r="MP14" s="16"/>
      <c r="MQ14" s="16"/>
      <c r="MR14" s="16"/>
      <c r="MS14" s="16"/>
      <c r="MT14" s="16"/>
      <c r="MU14" s="16"/>
      <c r="MV14" s="16"/>
      <c r="MW14" s="16"/>
      <c r="MX14" s="16"/>
      <c r="MY14" s="16"/>
      <c r="MZ14" s="16"/>
      <c r="NA14" s="16"/>
      <c r="NB14" s="16"/>
      <c r="NC14" s="16"/>
      <c r="ND14" s="16"/>
      <c r="NE14" s="16"/>
      <c r="NF14" s="16"/>
      <c r="NG14" s="16"/>
      <c r="NH14" s="16"/>
      <c r="NI14" s="16"/>
      <c r="NJ14" s="16"/>
      <c r="NK14" s="16"/>
      <c r="NL14" s="16"/>
      <c r="NM14" s="16"/>
      <c r="NN14" s="16"/>
      <c r="NO14" s="16"/>
      <c r="NP14" s="16"/>
      <c r="NQ14" s="16"/>
      <c r="NR14" s="16"/>
      <c r="NS14" s="16"/>
      <c r="NT14" s="16"/>
      <c r="NU14" s="16"/>
      <c r="NV14" s="16"/>
      <c r="NW14" s="16"/>
      <c r="NX14" s="16"/>
      <c r="NY14" s="16"/>
      <c r="NZ14" s="16"/>
      <c r="OA14" s="16"/>
      <c r="OB14" s="16"/>
      <c r="OC14" s="16"/>
      <c r="OD14" s="16"/>
      <c r="OE14" s="16"/>
      <c r="OF14" s="16"/>
      <c r="OG14" s="16"/>
      <c r="OH14" s="16"/>
      <c r="OI14" s="16"/>
      <c r="OJ14" s="16"/>
      <c r="OK14" s="16"/>
      <c r="OL14" s="16"/>
      <c r="OM14" s="16"/>
      <c r="ON14" s="16"/>
      <c r="OO14" s="16"/>
      <c r="OP14" s="16"/>
      <c r="OQ14" s="16"/>
      <c r="OR14" s="16"/>
      <c r="OS14" s="16"/>
      <c r="OT14" s="16"/>
      <c r="OU14" s="16"/>
      <c r="OV14" s="16"/>
      <c r="OW14" s="16"/>
      <c r="OX14" s="16"/>
      <c r="OY14" s="16"/>
      <c r="OZ14" s="16"/>
      <c r="PA14" s="16"/>
      <c r="PB14" s="16"/>
      <c r="PC14" s="16"/>
      <c r="PD14" s="16"/>
      <c r="PE14" s="16"/>
      <c r="PF14" s="16"/>
      <c r="PG14" s="16"/>
      <c r="PH14" s="16"/>
      <c r="PI14" s="16"/>
      <c r="PJ14" s="16"/>
      <c r="PK14" s="16"/>
      <c r="PL14" s="16"/>
      <c r="PM14" s="16"/>
      <c r="PN14" s="16"/>
      <c r="PO14" s="16"/>
      <c r="PP14" s="16"/>
      <c r="PQ14" s="16"/>
      <c r="PR14" s="16"/>
      <c r="PS14" s="16"/>
      <c r="PT14" s="16"/>
      <c r="PU14" s="16"/>
      <c r="PV14" s="16"/>
      <c r="PW14" s="16"/>
      <c r="PX14" s="16"/>
      <c r="PY14" s="16"/>
      <c r="PZ14" s="16"/>
      <c r="QA14" s="16"/>
      <c r="QB14" s="16"/>
      <c r="QC14" s="16"/>
      <c r="QD14" s="16"/>
      <c r="QE14" s="16"/>
      <c r="QF14" s="16"/>
      <c r="QG14" s="16"/>
      <c r="QH14" s="16"/>
      <c r="QI14" s="16"/>
      <c r="QJ14" s="16"/>
      <c r="QK14" s="16"/>
      <c r="QL14" s="16"/>
      <c r="QM14" s="16"/>
      <c r="QN14" s="16"/>
      <c r="QO14" s="16"/>
      <c r="QP14" s="16"/>
      <c r="QQ14" s="16"/>
      <c r="QR14" s="16"/>
      <c r="QS14" s="16"/>
      <c r="QT14" s="16"/>
      <c r="QU14" s="16"/>
      <c r="QV14" s="16"/>
      <c r="QW14" s="16"/>
      <c r="QX14" s="16"/>
      <c r="QY14" s="16"/>
      <c r="QZ14" s="16"/>
      <c r="RA14" s="16"/>
      <c r="RB14" s="16"/>
      <c r="RC14" s="16"/>
      <c r="RD14" s="16"/>
      <c r="RE14" s="16"/>
      <c r="RF14" s="16"/>
      <c r="RG14" s="16"/>
      <c r="RH14" s="16"/>
      <c r="RI14" s="16"/>
      <c r="RJ14" s="16"/>
      <c r="RK14" s="16"/>
      <c r="RL14" s="16"/>
      <c r="RM14" s="16"/>
      <c r="RN14" s="16"/>
      <c r="RO14" s="16"/>
      <c r="RP14" s="16"/>
      <c r="RQ14" s="16"/>
      <c r="RR14" s="16"/>
      <c r="RS14" s="16"/>
      <c r="RT14" s="16"/>
      <c r="RU14" s="16"/>
      <c r="RV14" s="16"/>
      <c r="RW14" s="16"/>
      <c r="RX14" s="16"/>
      <c r="RY14" s="16"/>
      <c r="RZ14" s="16"/>
      <c r="SA14" s="16"/>
      <c r="SB14" s="16"/>
      <c r="SC14" s="16"/>
      <c r="SD14" s="16"/>
      <c r="SE14" s="16"/>
      <c r="SF14" s="16"/>
      <c r="SG14" s="16"/>
      <c r="SH14" s="16"/>
      <c r="SI14" s="16"/>
      <c r="SJ14" s="16"/>
      <c r="SK14" s="16"/>
      <c r="SL14" s="16"/>
      <c r="SM14" s="16"/>
      <c r="SN14" s="16"/>
      <c r="SO14" s="16"/>
      <c r="SP14" s="16"/>
      <c r="SQ14" s="16"/>
      <c r="SR14" s="16"/>
      <c r="SS14" s="16"/>
      <c r="ST14" s="16"/>
      <c r="SU14" s="16"/>
      <c r="SV14" s="16"/>
      <c r="SW14" s="16"/>
      <c r="SX14" s="16"/>
      <c r="SY14" s="16"/>
      <c r="SZ14" s="16"/>
      <c r="TA14" s="16"/>
      <c r="TB14" s="16"/>
      <c r="TC14" s="16"/>
      <c r="TD14" s="16"/>
      <c r="TE14" s="16"/>
      <c r="TF14" s="16"/>
      <c r="TG14" s="16"/>
      <c r="TH14" s="16"/>
      <c r="TI14" s="16"/>
      <c r="TJ14" s="16"/>
      <c r="TK14" s="16"/>
      <c r="TL14" s="16"/>
      <c r="TM14" s="16"/>
      <c r="TN14" s="16"/>
      <c r="TO14" s="16"/>
      <c r="TP14" s="16"/>
      <c r="TQ14" s="16"/>
      <c r="TR14" s="16"/>
      <c r="TS14" s="16"/>
      <c r="TT14" s="16"/>
      <c r="TU14" s="16"/>
      <c r="TV14" s="16"/>
      <c r="TW14" s="16"/>
      <c r="TX14" s="16"/>
      <c r="TY14" s="16"/>
      <c r="TZ14" s="16"/>
      <c r="UA14" s="16"/>
      <c r="UB14" s="16"/>
      <c r="UC14" s="16"/>
      <c r="UD14" s="16"/>
      <c r="UE14" s="16"/>
      <c r="UF14" s="16"/>
      <c r="UG14" s="16"/>
      <c r="UH14" s="16"/>
      <c r="UI14" s="16"/>
      <c r="UJ14" s="16"/>
      <c r="UK14" s="16"/>
      <c r="UL14" s="16"/>
      <c r="UM14" s="16"/>
      <c r="UN14" s="16"/>
      <c r="UO14" s="16"/>
      <c r="UP14" s="16"/>
      <c r="UQ14" s="16"/>
      <c r="UR14" s="16"/>
      <c r="US14" s="16"/>
      <c r="UT14" s="16"/>
      <c r="UU14" s="16"/>
      <c r="UV14" s="16"/>
      <c r="UW14" s="16"/>
      <c r="UX14" s="16"/>
      <c r="UY14" s="16"/>
      <c r="UZ14" s="16"/>
      <c r="VA14" s="16"/>
      <c r="VB14" s="16"/>
      <c r="VC14" s="16"/>
      <c r="VD14" s="16"/>
      <c r="VE14" s="16"/>
      <c r="VF14" s="16"/>
      <c r="VG14" s="16"/>
      <c r="VH14" s="16"/>
      <c r="VI14" s="16"/>
      <c r="VJ14" s="16"/>
      <c r="VK14" s="16"/>
      <c r="VL14" s="16"/>
      <c r="VM14" s="16"/>
      <c r="VN14" s="16"/>
      <c r="VO14" s="16"/>
      <c r="VP14" s="16"/>
      <c r="VQ14" s="16"/>
      <c r="VR14" s="16"/>
      <c r="VS14" s="16"/>
      <c r="VT14" s="16"/>
      <c r="VU14" s="16"/>
      <c r="VV14" s="16"/>
      <c r="VW14" s="16"/>
      <c r="VX14" s="16"/>
      <c r="VY14" s="16"/>
      <c r="VZ14" s="16"/>
      <c r="WA14" s="16"/>
      <c r="WB14" s="16"/>
      <c r="WC14" s="16"/>
      <c r="WD14" s="16"/>
      <c r="WE14" s="16"/>
      <c r="WF14" s="16"/>
      <c r="WG14" s="16"/>
      <c r="WH14" s="16"/>
      <c r="WI14" s="16"/>
      <c r="WJ14" s="16"/>
      <c r="WK14" s="16"/>
      <c r="WL14" s="16"/>
      <c r="WM14" s="16"/>
      <c r="WN14" s="16"/>
      <c r="WO14" s="16"/>
      <c r="WP14" s="16"/>
      <c r="WQ14" s="16"/>
      <c r="WR14" s="16"/>
      <c r="WS14" s="16"/>
      <c r="WT14" s="16"/>
      <c r="WU14" s="16"/>
      <c r="WV14" s="16"/>
      <c r="WW14" s="16"/>
      <c r="WX14" s="16"/>
      <c r="WY14" s="16"/>
      <c r="WZ14" s="16"/>
      <c r="XA14" s="16"/>
      <c r="XB14" s="16"/>
      <c r="XC14" s="16"/>
      <c r="XD14" s="16"/>
      <c r="XE14" s="16"/>
      <c r="XF14" s="16"/>
      <c r="XG14" s="16"/>
      <c r="XH14" s="16"/>
      <c r="XI14" s="16"/>
      <c r="XJ14" s="16"/>
      <c r="XK14" s="16"/>
      <c r="XL14" s="16"/>
      <c r="XM14" s="16"/>
      <c r="XN14" s="16"/>
      <c r="XO14" s="16"/>
      <c r="XP14" s="16"/>
      <c r="XQ14" s="16"/>
      <c r="XR14" s="16"/>
      <c r="XS14" s="16"/>
      <c r="XT14" s="16"/>
      <c r="XU14" s="16"/>
      <c r="XV14" s="16"/>
      <c r="XW14" s="16"/>
      <c r="XX14" s="16"/>
      <c r="XY14" s="16"/>
      <c r="XZ14" s="16"/>
      <c r="YA14" s="16"/>
      <c r="YB14" s="16"/>
      <c r="YC14" s="16"/>
      <c r="YD14" s="16"/>
      <c r="YE14" s="16"/>
      <c r="YF14" s="16"/>
      <c r="YG14" s="16"/>
      <c r="YH14" s="16"/>
      <c r="YI14" s="16"/>
      <c r="YJ14" s="16"/>
      <c r="YK14" s="16"/>
      <c r="YL14" s="16"/>
      <c r="YM14" s="16"/>
      <c r="YN14" s="16"/>
      <c r="YO14" s="16"/>
      <c r="YP14" s="16"/>
      <c r="YQ14" s="16"/>
      <c r="YR14" s="16"/>
      <c r="YS14" s="16"/>
      <c r="YT14" s="16"/>
      <c r="YU14" s="16"/>
      <c r="YV14" s="16"/>
      <c r="YW14" s="16"/>
      <c r="YX14" s="16"/>
      <c r="YY14" s="16"/>
      <c r="YZ14" s="16"/>
      <c r="ZA14" s="16"/>
      <c r="ZB14" s="16"/>
      <c r="ZC14" s="16"/>
      <c r="ZD14" s="16"/>
      <c r="ZE14" s="16"/>
      <c r="ZF14" s="16"/>
      <c r="ZG14" s="16"/>
      <c r="ZH14" s="16"/>
      <c r="ZI14" s="16"/>
      <c r="ZJ14" s="16"/>
      <c r="ZK14" s="16"/>
      <c r="ZL14" s="16"/>
      <c r="ZM14" s="16"/>
      <c r="ZN14" s="16"/>
      <c r="ZO14" s="16"/>
      <c r="ZP14" s="16"/>
      <c r="ZQ14" s="16"/>
      <c r="ZR14" s="16"/>
      <c r="ZS14" s="16"/>
      <c r="ZT14" s="16"/>
      <c r="ZU14" s="16"/>
      <c r="ZV14" s="16"/>
      <c r="ZW14" s="16"/>
      <c r="ZX14" s="16"/>
      <c r="ZY14" s="16"/>
      <c r="ZZ14" s="16"/>
      <c r="AAA14" s="16"/>
      <c r="AAB14" s="16"/>
      <c r="AAC14" s="16"/>
      <c r="AAD14" s="16"/>
      <c r="AAE14" s="16"/>
      <c r="AAF14" s="16"/>
      <c r="AAG14" s="16"/>
      <c r="AAH14" s="16"/>
      <c r="AAI14" s="16"/>
      <c r="AAJ14" s="16"/>
      <c r="AAK14" s="16"/>
      <c r="AAL14" s="16"/>
      <c r="AAM14" s="16"/>
      <c r="AAN14" s="16"/>
      <c r="AAO14" s="16"/>
      <c r="AAP14" s="16"/>
      <c r="AAQ14" s="16"/>
      <c r="AAR14" s="16"/>
      <c r="AAS14" s="16"/>
      <c r="AAT14" s="16"/>
      <c r="AAU14" s="16"/>
      <c r="AAV14" s="16"/>
      <c r="AAW14" s="16"/>
      <c r="AAX14" s="16"/>
      <c r="AAY14" s="16"/>
      <c r="AAZ14" s="16"/>
      <c r="ABA14" s="16"/>
      <c r="ABB14" s="16"/>
      <c r="ABC14" s="16"/>
      <c r="ABD14" s="16"/>
      <c r="ABE14" s="16"/>
      <c r="ABF14" s="16"/>
      <c r="ABG14" s="16"/>
      <c r="ABH14" s="16"/>
      <c r="ABI14" s="16"/>
      <c r="ABJ14" s="16"/>
      <c r="ABK14" s="16"/>
      <c r="ABL14" s="16"/>
      <c r="ABM14" s="16"/>
      <c r="ABN14" s="16"/>
      <c r="ABO14" s="16"/>
      <c r="ABP14" s="16"/>
      <c r="ABQ14" s="16"/>
      <c r="ABR14" s="16"/>
      <c r="ABS14" s="16"/>
      <c r="ABT14" s="16"/>
      <c r="ABU14" s="16"/>
      <c r="ABV14" s="16"/>
      <c r="ABW14" s="16"/>
      <c r="ABX14" s="16"/>
      <c r="ABY14" s="16"/>
      <c r="ABZ14" s="16"/>
      <c r="ACA14" s="16"/>
      <c r="ACB14" s="16"/>
      <c r="ACC14" s="16"/>
      <c r="ACD14" s="16"/>
      <c r="ACE14" s="16"/>
      <c r="ACF14" s="16"/>
      <c r="ACG14" s="16"/>
      <c r="ACH14" s="16"/>
      <c r="ACI14" s="16"/>
      <c r="ACJ14" s="16"/>
      <c r="ACK14" s="16"/>
      <c r="ACL14" s="16"/>
      <c r="ACM14" s="16"/>
      <c r="ACN14" s="16"/>
      <c r="ACO14" s="16"/>
      <c r="ACP14" s="16"/>
      <c r="ACQ14" s="16"/>
      <c r="ACR14" s="16"/>
      <c r="ACS14" s="16"/>
      <c r="ACT14" s="16"/>
      <c r="ACU14" s="16"/>
      <c r="ACV14" s="16"/>
      <c r="ACW14" s="16"/>
      <c r="ACX14" s="16"/>
      <c r="ACY14" s="16"/>
      <c r="ACZ14" s="16"/>
      <c r="ADA14" s="16"/>
      <c r="ADB14" s="16"/>
      <c r="ADC14" s="16"/>
      <c r="ADD14" s="16"/>
      <c r="ADE14" s="16"/>
      <c r="ADF14" s="16"/>
      <c r="ADG14" s="16"/>
      <c r="ADH14" s="16"/>
      <c r="ADI14" s="16"/>
      <c r="ADJ14" s="16"/>
      <c r="ADK14" s="16"/>
      <c r="ADL14" s="16"/>
      <c r="ADM14" s="16"/>
      <c r="ADN14" s="16"/>
      <c r="ADO14" s="16"/>
      <c r="ADP14" s="16"/>
      <c r="ADQ14" s="16"/>
      <c r="ADR14" s="16"/>
      <c r="ADS14" s="16"/>
      <c r="ADT14" s="16"/>
      <c r="ADU14" s="16"/>
      <c r="ADV14" s="16"/>
      <c r="ADW14" s="16"/>
      <c r="ADX14" s="16"/>
      <c r="ADY14" s="16"/>
      <c r="ADZ14" s="16"/>
      <c r="AEA14" s="16"/>
      <c r="AEB14" s="16"/>
      <c r="AEC14" s="16"/>
      <c r="AED14" s="16"/>
      <c r="AEE14" s="16"/>
      <c r="AEF14" s="16"/>
      <c r="AEG14" s="16"/>
      <c r="AEH14" s="16"/>
      <c r="AEI14" s="16"/>
      <c r="AEJ14" s="16"/>
      <c r="AEK14" s="16"/>
      <c r="AEL14" s="16"/>
      <c r="AEM14" s="16"/>
      <c r="AEN14" s="16"/>
      <c r="AEO14" s="16"/>
      <c r="AEP14" s="16"/>
      <c r="AEQ14" s="16"/>
      <c r="AER14" s="16"/>
      <c r="AES14" s="16"/>
      <c r="AET14" s="16"/>
      <c r="AEU14" s="16"/>
      <c r="AEV14" s="16"/>
      <c r="AEW14" s="16"/>
      <c r="AEX14" s="16"/>
      <c r="AEY14" s="16"/>
      <c r="AEZ14" s="16"/>
      <c r="AFA14" s="16"/>
      <c r="AFB14" s="16"/>
      <c r="AFC14" s="16"/>
      <c r="AFD14" s="16"/>
      <c r="AFE14" s="16"/>
      <c r="AFF14" s="16"/>
      <c r="AFG14" s="16"/>
      <c r="AFH14" s="16"/>
      <c r="AFI14" s="16"/>
      <c r="AFJ14" s="16"/>
      <c r="AFK14" s="16"/>
      <c r="AFL14" s="16"/>
      <c r="AFM14" s="16"/>
      <c r="AFN14" s="16"/>
      <c r="AFO14" s="16"/>
      <c r="AFP14" s="16"/>
      <c r="AFQ14" s="16"/>
      <c r="AFR14" s="16"/>
      <c r="AFS14" s="16"/>
      <c r="AFT14" s="16"/>
      <c r="AFU14" s="16"/>
      <c r="AFV14" s="16"/>
      <c r="AFW14" s="16"/>
      <c r="AFX14" s="16"/>
      <c r="AFY14" s="16"/>
      <c r="AFZ14" s="16"/>
      <c r="AGA14" s="16"/>
      <c r="AGB14" s="16"/>
      <c r="AGC14" s="16"/>
      <c r="AGD14" s="16"/>
      <c r="AGE14" s="16"/>
      <c r="AGF14" s="16"/>
      <c r="AGG14" s="16"/>
      <c r="AGH14" s="16"/>
      <c r="AGI14" s="16"/>
      <c r="AGJ14" s="16"/>
      <c r="AGK14" s="16"/>
      <c r="AGL14" s="16"/>
      <c r="AGM14" s="16"/>
      <c r="AGN14" s="16"/>
      <c r="AGO14" s="16"/>
      <c r="AGP14" s="16"/>
      <c r="AGQ14" s="16"/>
      <c r="AGR14" s="16"/>
      <c r="AGS14" s="16"/>
      <c r="AGT14" s="16"/>
      <c r="AGU14" s="16"/>
      <c r="AGV14" s="16"/>
      <c r="AGW14" s="16"/>
      <c r="AGX14" s="16"/>
      <c r="AGY14" s="16"/>
      <c r="AGZ14" s="16"/>
      <c r="AHA14" s="16"/>
      <c r="AHB14" s="16"/>
      <c r="AHC14" s="16"/>
      <c r="AHD14" s="16"/>
      <c r="AHE14" s="16"/>
      <c r="AHF14" s="16"/>
      <c r="AHG14" s="16"/>
      <c r="AHH14" s="16"/>
      <c r="AHI14" s="16"/>
      <c r="AHJ14" s="16"/>
      <c r="AHK14" s="16"/>
      <c r="AHL14" s="16"/>
      <c r="AHM14" s="16"/>
      <c r="AHN14" s="16"/>
      <c r="AHO14" s="16"/>
      <c r="AHP14" s="16"/>
      <c r="AHQ14" s="16"/>
      <c r="AHR14" s="16"/>
      <c r="AHS14" s="16"/>
      <c r="AHT14" s="16"/>
      <c r="AHU14" s="16"/>
      <c r="AHV14" s="16"/>
      <c r="AHW14" s="16"/>
      <c r="AHX14" s="16"/>
      <c r="AHY14" s="16"/>
      <c r="AHZ14" s="16"/>
      <c r="AIA14" s="16"/>
      <c r="AIB14" s="16"/>
      <c r="AIC14" s="16"/>
      <c r="AID14" s="16"/>
      <c r="AIE14" s="16"/>
      <c r="AIF14" s="16"/>
      <c r="AIG14" s="16"/>
      <c r="AIH14" s="16"/>
      <c r="AII14" s="16"/>
      <c r="AIJ14" s="16"/>
      <c r="AIK14" s="16"/>
      <c r="AIL14" s="16"/>
      <c r="AIM14" s="16"/>
      <c r="AIN14" s="16"/>
      <c r="AIO14" s="16"/>
      <c r="AIP14" s="16"/>
      <c r="AIQ14" s="16"/>
      <c r="AIR14" s="16"/>
      <c r="AIS14" s="16"/>
      <c r="AIT14" s="16"/>
      <c r="AIU14" s="16"/>
      <c r="AIV14" s="16"/>
      <c r="AIW14" s="16"/>
      <c r="AIX14" s="16"/>
      <c r="AIY14" s="16"/>
      <c r="AIZ14" s="16"/>
      <c r="AJA14" s="16"/>
      <c r="AJB14" s="16"/>
      <c r="AJC14" s="16"/>
      <c r="AJD14" s="16"/>
      <c r="AJE14" s="16"/>
      <c r="AJF14" s="16"/>
      <c r="AJG14" s="16"/>
      <c r="AJH14" s="16"/>
      <c r="AJI14" s="16"/>
      <c r="AJJ14" s="16"/>
      <c r="AJK14" s="16"/>
      <c r="AJL14" s="16"/>
      <c r="AJM14" s="16"/>
      <c r="AJN14" s="16"/>
      <c r="AJO14" s="16"/>
      <c r="AJP14" s="16"/>
      <c r="AJQ14" s="16"/>
      <c r="AJR14" s="16"/>
      <c r="AJS14" s="16"/>
      <c r="AJT14" s="16"/>
      <c r="AJU14" s="16"/>
      <c r="AJV14" s="16"/>
      <c r="AJW14" s="16"/>
      <c r="AJX14" s="16"/>
      <c r="AJY14" s="16"/>
      <c r="AJZ14" s="16"/>
      <c r="AKA14" s="16"/>
      <c r="AKB14" s="16"/>
      <c r="AKC14" s="16"/>
      <c r="AKD14" s="16"/>
      <c r="AKE14" s="16"/>
      <c r="AKF14" s="16"/>
      <c r="AKG14" s="16"/>
      <c r="AKH14" s="16"/>
      <c r="AKI14" s="16"/>
      <c r="AKJ14" s="16"/>
      <c r="AKK14" s="16"/>
      <c r="AKL14" s="16"/>
      <c r="AKM14" s="16"/>
      <c r="AKN14" s="16"/>
      <c r="AKO14" s="16"/>
      <c r="AKP14" s="16"/>
      <c r="AKQ14" s="16"/>
      <c r="AKR14" s="16"/>
      <c r="AKS14" s="16"/>
      <c r="AKT14" s="16"/>
      <c r="AKU14" s="16"/>
      <c r="AKV14" s="16"/>
      <c r="AKW14" s="16"/>
      <c r="AKX14" s="16"/>
      <c r="AKY14" s="16"/>
      <c r="AKZ14" s="16"/>
      <c r="ALA14" s="16"/>
      <c r="ALB14" s="16"/>
      <c r="ALC14" s="16"/>
      <c r="ALD14" s="16"/>
      <c r="ALE14" s="16"/>
      <c r="ALF14" s="16"/>
      <c r="ALG14" s="16"/>
      <c r="ALH14" s="16"/>
      <c r="ALI14" s="16"/>
      <c r="ALJ14" s="16"/>
      <c r="ALK14" s="16"/>
      <c r="ALL14" s="16"/>
      <c r="ALM14" s="16"/>
      <c r="ALN14" s="16"/>
      <c r="ALO14" s="16"/>
      <c r="ALP14" s="16"/>
      <c r="ALQ14" s="16"/>
      <c r="ALR14" s="16"/>
      <c r="ALS14" s="16"/>
      <c r="ALT14" s="16"/>
      <c r="ALU14" s="16"/>
      <c r="ALV14" s="16"/>
      <c r="ALW14" s="16"/>
      <c r="ALX14" s="16"/>
      <c r="ALY14" s="16"/>
      <c r="ALZ14" s="16"/>
      <c r="AMA14" s="16"/>
      <c r="AMB14" s="16"/>
      <c r="AMC14" s="16"/>
      <c r="AMD14" s="16"/>
    </row>
    <row r="15" customFormat="false" ht="15" hidden="false" customHeight="true" outlineLevel="0" collapsed="false">
      <c r="A15" s="16"/>
      <c r="B15" s="125" t="str">
        <f aca="false">'Base Chapecó'!B17</f>
        <v>APS VIDEIRA</v>
      </c>
      <c r="C15" s="276" t="n">
        <f aca="false">VLOOKUP(B15,Unidades!$D$5:$G$28,4,)</f>
        <v>0.02</v>
      </c>
      <c r="D15" s="277" t="n">
        <f aca="false">'Base Chapecó'!AD17*12+'Base Chapecó'!AE17*4+'Base Chapecó'!AF17*2+'Base Chapecó'!AG17</f>
        <v>19951.3615516456</v>
      </c>
      <c r="E15" s="277" t="n">
        <f aca="false">'Base Chapecó'!AK17*12+'Base Chapecó'!AL17*4+'Base Chapecó'!AM17*2+'Base Chapecó'!AN17</f>
        <v>24386.5492245764</v>
      </c>
      <c r="IO15" s="16"/>
      <c r="IP15" s="16"/>
      <c r="IQ15" s="16"/>
      <c r="IR15" s="16"/>
      <c r="IS15" s="16"/>
      <c r="IT15" s="16"/>
      <c r="IU15" s="16"/>
      <c r="IV15" s="16"/>
      <c r="IW15" s="16"/>
      <c r="IX15" s="16"/>
      <c r="IY15" s="16"/>
      <c r="IZ15" s="16"/>
      <c r="JA15" s="16"/>
      <c r="JB15" s="16"/>
      <c r="JC15" s="16"/>
      <c r="JD15" s="16"/>
      <c r="JE15" s="16"/>
      <c r="JF15" s="16"/>
      <c r="JG15" s="16"/>
      <c r="JH15" s="16"/>
      <c r="JI15" s="16"/>
      <c r="JJ15" s="16"/>
      <c r="JK15" s="16"/>
      <c r="JL15" s="16"/>
      <c r="JM15" s="16"/>
      <c r="JN15" s="16"/>
      <c r="JO15" s="16"/>
      <c r="JP15" s="16"/>
      <c r="JQ15" s="16"/>
      <c r="JR15" s="16"/>
      <c r="JS15" s="16"/>
      <c r="JT15" s="16"/>
      <c r="JU15" s="16"/>
      <c r="JV15" s="16"/>
      <c r="JW15" s="16"/>
      <c r="JX15" s="16"/>
      <c r="JY15" s="16"/>
      <c r="JZ15" s="16"/>
      <c r="KA15" s="16"/>
      <c r="KB15" s="16"/>
      <c r="KC15" s="16"/>
      <c r="KD15" s="16"/>
      <c r="KE15" s="16"/>
      <c r="KF15" s="16"/>
      <c r="KG15" s="16"/>
      <c r="KH15" s="16"/>
      <c r="KI15" s="16"/>
      <c r="KJ15" s="16"/>
      <c r="KK15" s="16"/>
      <c r="KL15" s="16"/>
      <c r="KM15" s="16"/>
      <c r="KN15" s="16"/>
      <c r="KO15" s="16"/>
      <c r="KP15" s="16"/>
      <c r="KQ15" s="16"/>
      <c r="KR15" s="16"/>
      <c r="KS15" s="16"/>
      <c r="KT15" s="16"/>
      <c r="KU15" s="16"/>
      <c r="KV15" s="16"/>
      <c r="KW15" s="16"/>
      <c r="KX15" s="16"/>
      <c r="KY15" s="16"/>
      <c r="KZ15" s="16"/>
      <c r="LA15" s="16"/>
      <c r="LB15" s="16"/>
      <c r="LC15" s="16"/>
      <c r="LD15" s="16"/>
      <c r="LE15" s="16"/>
      <c r="LF15" s="16"/>
      <c r="LG15" s="16"/>
      <c r="LH15" s="16"/>
      <c r="LI15" s="16"/>
      <c r="LJ15" s="16"/>
      <c r="LK15" s="16"/>
      <c r="LL15" s="16"/>
      <c r="LM15" s="16"/>
      <c r="LN15" s="16"/>
      <c r="LO15" s="16"/>
      <c r="LP15" s="16"/>
      <c r="LQ15" s="16"/>
      <c r="LR15" s="16"/>
      <c r="LS15" s="16"/>
      <c r="LT15" s="16"/>
      <c r="LU15" s="16"/>
      <c r="LV15" s="16"/>
      <c r="LW15" s="16"/>
      <c r="LX15" s="16"/>
      <c r="LY15" s="16"/>
      <c r="LZ15" s="16"/>
      <c r="MA15" s="16"/>
      <c r="MB15" s="16"/>
      <c r="MC15" s="16"/>
      <c r="MD15" s="16"/>
      <c r="ME15" s="16"/>
      <c r="MF15" s="16"/>
      <c r="MG15" s="16"/>
      <c r="MH15" s="16"/>
      <c r="MI15" s="16"/>
      <c r="MJ15" s="16"/>
      <c r="MK15" s="16"/>
      <c r="ML15" s="16"/>
      <c r="MM15" s="16"/>
      <c r="MN15" s="16"/>
      <c r="MO15" s="16"/>
      <c r="MP15" s="16"/>
      <c r="MQ15" s="16"/>
      <c r="MR15" s="16"/>
      <c r="MS15" s="16"/>
      <c r="MT15" s="16"/>
      <c r="MU15" s="16"/>
      <c r="MV15" s="16"/>
      <c r="MW15" s="16"/>
      <c r="MX15" s="16"/>
      <c r="MY15" s="16"/>
      <c r="MZ15" s="16"/>
      <c r="NA15" s="16"/>
      <c r="NB15" s="16"/>
      <c r="NC15" s="16"/>
      <c r="ND15" s="16"/>
      <c r="NE15" s="16"/>
      <c r="NF15" s="16"/>
      <c r="NG15" s="16"/>
      <c r="NH15" s="16"/>
      <c r="NI15" s="16"/>
      <c r="NJ15" s="16"/>
      <c r="NK15" s="16"/>
      <c r="NL15" s="16"/>
      <c r="NM15" s="16"/>
      <c r="NN15" s="16"/>
      <c r="NO15" s="16"/>
      <c r="NP15" s="16"/>
      <c r="NQ15" s="16"/>
      <c r="NR15" s="16"/>
      <c r="NS15" s="16"/>
      <c r="NT15" s="16"/>
      <c r="NU15" s="16"/>
      <c r="NV15" s="16"/>
      <c r="NW15" s="16"/>
      <c r="NX15" s="16"/>
      <c r="NY15" s="16"/>
      <c r="NZ15" s="16"/>
      <c r="OA15" s="16"/>
      <c r="OB15" s="16"/>
      <c r="OC15" s="16"/>
      <c r="OD15" s="16"/>
      <c r="OE15" s="16"/>
      <c r="OF15" s="16"/>
      <c r="OG15" s="16"/>
      <c r="OH15" s="16"/>
      <c r="OI15" s="16"/>
      <c r="OJ15" s="16"/>
      <c r="OK15" s="16"/>
      <c r="OL15" s="16"/>
      <c r="OM15" s="16"/>
      <c r="ON15" s="16"/>
      <c r="OO15" s="16"/>
      <c r="OP15" s="16"/>
      <c r="OQ15" s="16"/>
      <c r="OR15" s="16"/>
      <c r="OS15" s="16"/>
      <c r="OT15" s="16"/>
      <c r="OU15" s="16"/>
      <c r="OV15" s="16"/>
      <c r="OW15" s="16"/>
      <c r="OX15" s="16"/>
      <c r="OY15" s="16"/>
      <c r="OZ15" s="16"/>
      <c r="PA15" s="16"/>
      <c r="PB15" s="16"/>
      <c r="PC15" s="16"/>
      <c r="PD15" s="16"/>
      <c r="PE15" s="16"/>
      <c r="PF15" s="16"/>
      <c r="PG15" s="16"/>
      <c r="PH15" s="16"/>
      <c r="PI15" s="16"/>
      <c r="PJ15" s="16"/>
      <c r="PK15" s="16"/>
      <c r="PL15" s="16"/>
      <c r="PM15" s="16"/>
      <c r="PN15" s="16"/>
      <c r="PO15" s="16"/>
      <c r="PP15" s="16"/>
      <c r="PQ15" s="16"/>
      <c r="PR15" s="16"/>
      <c r="PS15" s="16"/>
      <c r="PT15" s="16"/>
      <c r="PU15" s="16"/>
      <c r="PV15" s="16"/>
      <c r="PW15" s="16"/>
      <c r="PX15" s="16"/>
      <c r="PY15" s="16"/>
      <c r="PZ15" s="16"/>
      <c r="QA15" s="16"/>
      <c r="QB15" s="16"/>
      <c r="QC15" s="16"/>
      <c r="QD15" s="16"/>
      <c r="QE15" s="16"/>
      <c r="QF15" s="16"/>
      <c r="QG15" s="16"/>
      <c r="QH15" s="16"/>
      <c r="QI15" s="16"/>
      <c r="QJ15" s="16"/>
      <c r="QK15" s="16"/>
      <c r="QL15" s="16"/>
      <c r="QM15" s="16"/>
      <c r="QN15" s="16"/>
      <c r="QO15" s="16"/>
      <c r="QP15" s="16"/>
      <c r="QQ15" s="16"/>
      <c r="QR15" s="16"/>
      <c r="QS15" s="16"/>
      <c r="QT15" s="16"/>
      <c r="QU15" s="16"/>
      <c r="QV15" s="16"/>
      <c r="QW15" s="16"/>
      <c r="QX15" s="16"/>
      <c r="QY15" s="16"/>
      <c r="QZ15" s="16"/>
      <c r="RA15" s="16"/>
      <c r="RB15" s="16"/>
      <c r="RC15" s="16"/>
      <c r="RD15" s="16"/>
      <c r="RE15" s="16"/>
      <c r="RF15" s="16"/>
      <c r="RG15" s="16"/>
      <c r="RH15" s="16"/>
      <c r="RI15" s="16"/>
      <c r="RJ15" s="16"/>
      <c r="RK15" s="16"/>
      <c r="RL15" s="16"/>
      <c r="RM15" s="16"/>
      <c r="RN15" s="16"/>
      <c r="RO15" s="16"/>
      <c r="RP15" s="16"/>
      <c r="RQ15" s="16"/>
      <c r="RR15" s="16"/>
      <c r="RS15" s="16"/>
      <c r="RT15" s="16"/>
      <c r="RU15" s="16"/>
      <c r="RV15" s="16"/>
      <c r="RW15" s="16"/>
      <c r="RX15" s="16"/>
      <c r="RY15" s="16"/>
      <c r="RZ15" s="16"/>
      <c r="SA15" s="16"/>
      <c r="SB15" s="16"/>
      <c r="SC15" s="16"/>
      <c r="SD15" s="16"/>
      <c r="SE15" s="16"/>
      <c r="SF15" s="16"/>
      <c r="SG15" s="16"/>
      <c r="SH15" s="16"/>
      <c r="SI15" s="16"/>
      <c r="SJ15" s="16"/>
      <c r="SK15" s="16"/>
      <c r="SL15" s="16"/>
      <c r="SM15" s="16"/>
      <c r="SN15" s="16"/>
      <c r="SO15" s="16"/>
      <c r="SP15" s="16"/>
      <c r="SQ15" s="16"/>
      <c r="SR15" s="16"/>
      <c r="SS15" s="16"/>
      <c r="ST15" s="16"/>
      <c r="SU15" s="16"/>
      <c r="SV15" s="16"/>
      <c r="SW15" s="16"/>
      <c r="SX15" s="16"/>
      <c r="SY15" s="16"/>
      <c r="SZ15" s="16"/>
      <c r="TA15" s="16"/>
      <c r="TB15" s="16"/>
      <c r="TC15" s="16"/>
      <c r="TD15" s="16"/>
      <c r="TE15" s="16"/>
      <c r="TF15" s="16"/>
      <c r="TG15" s="16"/>
      <c r="TH15" s="16"/>
      <c r="TI15" s="16"/>
      <c r="TJ15" s="16"/>
      <c r="TK15" s="16"/>
      <c r="TL15" s="16"/>
      <c r="TM15" s="16"/>
      <c r="TN15" s="16"/>
      <c r="TO15" s="16"/>
      <c r="TP15" s="16"/>
      <c r="TQ15" s="16"/>
      <c r="TR15" s="16"/>
      <c r="TS15" s="16"/>
      <c r="TT15" s="16"/>
      <c r="TU15" s="16"/>
      <c r="TV15" s="16"/>
      <c r="TW15" s="16"/>
      <c r="TX15" s="16"/>
      <c r="TY15" s="16"/>
      <c r="TZ15" s="16"/>
      <c r="UA15" s="16"/>
      <c r="UB15" s="16"/>
      <c r="UC15" s="16"/>
      <c r="UD15" s="16"/>
      <c r="UE15" s="16"/>
      <c r="UF15" s="16"/>
      <c r="UG15" s="16"/>
      <c r="UH15" s="16"/>
      <c r="UI15" s="16"/>
      <c r="UJ15" s="16"/>
      <c r="UK15" s="16"/>
      <c r="UL15" s="16"/>
      <c r="UM15" s="16"/>
      <c r="UN15" s="16"/>
      <c r="UO15" s="16"/>
      <c r="UP15" s="16"/>
      <c r="UQ15" s="16"/>
      <c r="UR15" s="16"/>
      <c r="US15" s="16"/>
      <c r="UT15" s="16"/>
      <c r="UU15" s="16"/>
      <c r="UV15" s="16"/>
      <c r="UW15" s="16"/>
      <c r="UX15" s="16"/>
      <c r="UY15" s="16"/>
      <c r="UZ15" s="16"/>
      <c r="VA15" s="16"/>
      <c r="VB15" s="16"/>
      <c r="VC15" s="16"/>
      <c r="VD15" s="16"/>
      <c r="VE15" s="16"/>
      <c r="VF15" s="16"/>
      <c r="VG15" s="16"/>
      <c r="VH15" s="16"/>
      <c r="VI15" s="16"/>
      <c r="VJ15" s="16"/>
      <c r="VK15" s="16"/>
      <c r="VL15" s="16"/>
      <c r="VM15" s="16"/>
      <c r="VN15" s="16"/>
      <c r="VO15" s="16"/>
      <c r="VP15" s="16"/>
      <c r="VQ15" s="16"/>
      <c r="VR15" s="16"/>
      <c r="VS15" s="16"/>
      <c r="VT15" s="16"/>
      <c r="VU15" s="16"/>
      <c r="VV15" s="16"/>
      <c r="VW15" s="16"/>
      <c r="VX15" s="16"/>
      <c r="VY15" s="16"/>
      <c r="VZ15" s="16"/>
      <c r="WA15" s="16"/>
      <c r="WB15" s="16"/>
      <c r="WC15" s="16"/>
      <c r="WD15" s="16"/>
      <c r="WE15" s="16"/>
      <c r="WF15" s="16"/>
      <c r="WG15" s="16"/>
      <c r="WH15" s="16"/>
      <c r="WI15" s="16"/>
      <c r="WJ15" s="16"/>
      <c r="WK15" s="16"/>
      <c r="WL15" s="16"/>
      <c r="WM15" s="16"/>
      <c r="WN15" s="16"/>
      <c r="WO15" s="16"/>
      <c r="WP15" s="16"/>
      <c r="WQ15" s="16"/>
      <c r="WR15" s="16"/>
      <c r="WS15" s="16"/>
      <c r="WT15" s="16"/>
      <c r="WU15" s="16"/>
      <c r="WV15" s="16"/>
      <c r="WW15" s="16"/>
      <c r="WX15" s="16"/>
      <c r="WY15" s="16"/>
      <c r="WZ15" s="16"/>
      <c r="XA15" s="16"/>
      <c r="XB15" s="16"/>
      <c r="XC15" s="16"/>
      <c r="XD15" s="16"/>
      <c r="XE15" s="16"/>
      <c r="XF15" s="16"/>
      <c r="XG15" s="16"/>
      <c r="XH15" s="16"/>
      <c r="XI15" s="16"/>
      <c r="XJ15" s="16"/>
      <c r="XK15" s="16"/>
      <c r="XL15" s="16"/>
      <c r="XM15" s="16"/>
      <c r="XN15" s="16"/>
      <c r="XO15" s="16"/>
      <c r="XP15" s="16"/>
      <c r="XQ15" s="16"/>
      <c r="XR15" s="16"/>
      <c r="XS15" s="16"/>
      <c r="XT15" s="16"/>
      <c r="XU15" s="16"/>
      <c r="XV15" s="16"/>
      <c r="XW15" s="16"/>
      <c r="XX15" s="16"/>
      <c r="XY15" s="16"/>
      <c r="XZ15" s="16"/>
      <c r="YA15" s="16"/>
      <c r="YB15" s="16"/>
      <c r="YC15" s="16"/>
      <c r="YD15" s="16"/>
      <c r="YE15" s="16"/>
      <c r="YF15" s="16"/>
      <c r="YG15" s="16"/>
      <c r="YH15" s="16"/>
      <c r="YI15" s="16"/>
      <c r="YJ15" s="16"/>
      <c r="YK15" s="16"/>
      <c r="YL15" s="16"/>
      <c r="YM15" s="16"/>
      <c r="YN15" s="16"/>
      <c r="YO15" s="16"/>
      <c r="YP15" s="16"/>
      <c r="YQ15" s="16"/>
      <c r="YR15" s="16"/>
      <c r="YS15" s="16"/>
      <c r="YT15" s="16"/>
      <c r="YU15" s="16"/>
      <c r="YV15" s="16"/>
      <c r="YW15" s="16"/>
      <c r="YX15" s="16"/>
      <c r="YY15" s="16"/>
      <c r="YZ15" s="16"/>
      <c r="ZA15" s="16"/>
      <c r="ZB15" s="16"/>
      <c r="ZC15" s="16"/>
      <c r="ZD15" s="16"/>
      <c r="ZE15" s="16"/>
      <c r="ZF15" s="16"/>
      <c r="ZG15" s="16"/>
      <c r="ZH15" s="16"/>
      <c r="ZI15" s="16"/>
      <c r="ZJ15" s="16"/>
      <c r="ZK15" s="16"/>
      <c r="ZL15" s="16"/>
      <c r="ZM15" s="16"/>
      <c r="ZN15" s="16"/>
      <c r="ZO15" s="16"/>
      <c r="ZP15" s="16"/>
      <c r="ZQ15" s="16"/>
      <c r="ZR15" s="16"/>
      <c r="ZS15" s="16"/>
      <c r="ZT15" s="16"/>
      <c r="ZU15" s="16"/>
      <c r="ZV15" s="16"/>
      <c r="ZW15" s="16"/>
      <c r="ZX15" s="16"/>
      <c r="ZY15" s="16"/>
      <c r="ZZ15" s="16"/>
      <c r="AAA15" s="16"/>
      <c r="AAB15" s="16"/>
      <c r="AAC15" s="16"/>
      <c r="AAD15" s="16"/>
      <c r="AAE15" s="16"/>
      <c r="AAF15" s="16"/>
      <c r="AAG15" s="16"/>
      <c r="AAH15" s="16"/>
      <c r="AAI15" s="16"/>
      <c r="AAJ15" s="16"/>
      <c r="AAK15" s="16"/>
      <c r="AAL15" s="16"/>
      <c r="AAM15" s="16"/>
      <c r="AAN15" s="16"/>
      <c r="AAO15" s="16"/>
      <c r="AAP15" s="16"/>
      <c r="AAQ15" s="16"/>
      <c r="AAR15" s="16"/>
      <c r="AAS15" s="16"/>
      <c r="AAT15" s="16"/>
      <c r="AAU15" s="16"/>
      <c r="AAV15" s="16"/>
      <c r="AAW15" s="16"/>
      <c r="AAX15" s="16"/>
      <c r="AAY15" s="16"/>
      <c r="AAZ15" s="16"/>
      <c r="ABA15" s="16"/>
      <c r="ABB15" s="16"/>
      <c r="ABC15" s="16"/>
      <c r="ABD15" s="16"/>
      <c r="ABE15" s="16"/>
      <c r="ABF15" s="16"/>
      <c r="ABG15" s="16"/>
      <c r="ABH15" s="16"/>
      <c r="ABI15" s="16"/>
      <c r="ABJ15" s="16"/>
      <c r="ABK15" s="16"/>
      <c r="ABL15" s="16"/>
      <c r="ABM15" s="16"/>
      <c r="ABN15" s="16"/>
      <c r="ABO15" s="16"/>
      <c r="ABP15" s="16"/>
      <c r="ABQ15" s="16"/>
      <c r="ABR15" s="16"/>
      <c r="ABS15" s="16"/>
      <c r="ABT15" s="16"/>
      <c r="ABU15" s="16"/>
      <c r="ABV15" s="16"/>
      <c r="ABW15" s="16"/>
      <c r="ABX15" s="16"/>
      <c r="ABY15" s="16"/>
      <c r="ABZ15" s="16"/>
      <c r="ACA15" s="16"/>
      <c r="ACB15" s="16"/>
      <c r="ACC15" s="16"/>
      <c r="ACD15" s="16"/>
      <c r="ACE15" s="16"/>
      <c r="ACF15" s="16"/>
      <c r="ACG15" s="16"/>
      <c r="ACH15" s="16"/>
      <c r="ACI15" s="16"/>
      <c r="ACJ15" s="16"/>
      <c r="ACK15" s="16"/>
      <c r="ACL15" s="16"/>
      <c r="ACM15" s="16"/>
      <c r="ACN15" s="16"/>
      <c r="ACO15" s="16"/>
      <c r="ACP15" s="16"/>
      <c r="ACQ15" s="16"/>
      <c r="ACR15" s="16"/>
      <c r="ACS15" s="16"/>
      <c r="ACT15" s="16"/>
      <c r="ACU15" s="16"/>
      <c r="ACV15" s="16"/>
      <c r="ACW15" s="16"/>
      <c r="ACX15" s="16"/>
      <c r="ACY15" s="16"/>
      <c r="ACZ15" s="16"/>
      <c r="ADA15" s="16"/>
      <c r="ADB15" s="16"/>
      <c r="ADC15" s="16"/>
      <c r="ADD15" s="16"/>
      <c r="ADE15" s="16"/>
      <c r="ADF15" s="16"/>
      <c r="ADG15" s="16"/>
      <c r="ADH15" s="16"/>
      <c r="ADI15" s="16"/>
      <c r="ADJ15" s="16"/>
      <c r="ADK15" s="16"/>
      <c r="ADL15" s="16"/>
      <c r="ADM15" s="16"/>
      <c r="ADN15" s="16"/>
      <c r="ADO15" s="16"/>
      <c r="ADP15" s="16"/>
      <c r="ADQ15" s="16"/>
      <c r="ADR15" s="16"/>
      <c r="ADS15" s="16"/>
      <c r="ADT15" s="16"/>
      <c r="ADU15" s="16"/>
      <c r="ADV15" s="16"/>
      <c r="ADW15" s="16"/>
      <c r="ADX15" s="16"/>
      <c r="ADY15" s="16"/>
      <c r="ADZ15" s="16"/>
      <c r="AEA15" s="16"/>
      <c r="AEB15" s="16"/>
      <c r="AEC15" s="16"/>
      <c r="AED15" s="16"/>
      <c r="AEE15" s="16"/>
      <c r="AEF15" s="16"/>
      <c r="AEG15" s="16"/>
      <c r="AEH15" s="16"/>
      <c r="AEI15" s="16"/>
      <c r="AEJ15" s="16"/>
      <c r="AEK15" s="16"/>
      <c r="AEL15" s="16"/>
      <c r="AEM15" s="16"/>
      <c r="AEN15" s="16"/>
      <c r="AEO15" s="16"/>
      <c r="AEP15" s="16"/>
      <c r="AEQ15" s="16"/>
      <c r="AER15" s="16"/>
      <c r="AES15" s="16"/>
      <c r="AET15" s="16"/>
      <c r="AEU15" s="16"/>
      <c r="AEV15" s="16"/>
      <c r="AEW15" s="16"/>
      <c r="AEX15" s="16"/>
      <c r="AEY15" s="16"/>
      <c r="AEZ15" s="16"/>
      <c r="AFA15" s="16"/>
      <c r="AFB15" s="16"/>
      <c r="AFC15" s="16"/>
      <c r="AFD15" s="16"/>
      <c r="AFE15" s="16"/>
      <c r="AFF15" s="16"/>
      <c r="AFG15" s="16"/>
      <c r="AFH15" s="16"/>
      <c r="AFI15" s="16"/>
      <c r="AFJ15" s="16"/>
      <c r="AFK15" s="16"/>
      <c r="AFL15" s="16"/>
      <c r="AFM15" s="16"/>
      <c r="AFN15" s="16"/>
      <c r="AFO15" s="16"/>
      <c r="AFP15" s="16"/>
      <c r="AFQ15" s="16"/>
      <c r="AFR15" s="16"/>
      <c r="AFS15" s="16"/>
      <c r="AFT15" s="16"/>
      <c r="AFU15" s="16"/>
      <c r="AFV15" s="16"/>
      <c r="AFW15" s="16"/>
      <c r="AFX15" s="16"/>
      <c r="AFY15" s="16"/>
      <c r="AFZ15" s="16"/>
      <c r="AGA15" s="16"/>
      <c r="AGB15" s="16"/>
      <c r="AGC15" s="16"/>
      <c r="AGD15" s="16"/>
      <c r="AGE15" s="16"/>
      <c r="AGF15" s="16"/>
      <c r="AGG15" s="16"/>
      <c r="AGH15" s="16"/>
      <c r="AGI15" s="16"/>
      <c r="AGJ15" s="16"/>
      <c r="AGK15" s="16"/>
      <c r="AGL15" s="16"/>
      <c r="AGM15" s="16"/>
      <c r="AGN15" s="16"/>
      <c r="AGO15" s="16"/>
      <c r="AGP15" s="16"/>
      <c r="AGQ15" s="16"/>
      <c r="AGR15" s="16"/>
      <c r="AGS15" s="16"/>
      <c r="AGT15" s="16"/>
      <c r="AGU15" s="16"/>
      <c r="AGV15" s="16"/>
      <c r="AGW15" s="16"/>
      <c r="AGX15" s="16"/>
      <c r="AGY15" s="16"/>
      <c r="AGZ15" s="16"/>
      <c r="AHA15" s="16"/>
      <c r="AHB15" s="16"/>
      <c r="AHC15" s="16"/>
      <c r="AHD15" s="16"/>
      <c r="AHE15" s="16"/>
      <c r="AHF15" s="16"/>
      <c r="AHG15" s="16"/>
      <c r="AHH15" s="16"/>
      <c r="AHI15" s="16"/>
      <c r="AHJ15" s="16"/>
      <c r="AHK15" s="16"/>
      <c r="AHL15" s="16"/>
      <c r="AHM15" s="16"/>
      <c r="AHN15" s="16"/>
      <c r="AHO15" s="16"/>
      <c r="AHP15" s="16"/>
      <c r="AHQ15" s="16"/>
      <c r="AHR15" s="16"/>
      <c r="AHS15" s="16"/>
      <c r="AHT15" s="16"/>
      <c r="AHU15" s="16"/>
      <c r="AHV15" s="16"/>
      <c r="AHW15" s="16"/>
      <c r="AHX15" s="16"/>
      <c r="AHY15" s="16"/>
      <c r="AHZ15" s="16"/>
      <c r="AIA15" s="16"/>
      <c r="AIB15" s="16"/>
      <c r="AIC15" s="16"/>
      <c r="AID15" s="16"/>
      <c r="AIE15" s="16"/>
      <c r="AIF15" s="16"/>
      <c r="AIG15" s="16"/>
      <c r="AIH15" s="16"/>
      <c r="AII15" s="16"/>
      <c r="AIJ15" s="16"/>
      <c r="AIK15" s="16"/>
      <c r="AIL15" s="16"/>
      <c r="AIM15" s="16"/>
      <c r="AIN15" s="16"/>
      <c r="AIO15" s="16"/>
      <c r="AIP15" s="16"/>
      <c r="AIQ15" s="16"/>
      <c r="AIR15" s="16"/>
      <c r="AIS15" s="16"/>
      <c r="AIT15" s="16"/>
      <c r="AIU15" s="16"/>
      <c r="AIV15" s="16"/>
      <c r="AIW15" s="16"/>
      <c r="AIX15" s="16"/>
      <c r="AIY15" s="16"/>
      <c r="AIZ15" s="16"/>
      <c r="AJA15" s="16"/>
      <c r="AJB15" s="16"/>
      <c r="AJC15" s="16"/>
      <c r="AJD15" s="16"/>
      <c r="AJE15" s="16"/>
      <c r="AJF15" s="16"/>
      <c r="AJG15" s="16"/>
      <c r="AJH15" s="16"/>
      <c r="AJI15" s="16"/>
      <c r="AJJ15" s="16"/>
      <c r="AJK15" s="16"/>
      <c r="AJL15" s="16"/>
      <c r="AJM15" s="16"/>
      <c r="AJN15" s="16"/>
      <c r="AJO15" s="16"/>
      <c r="AJP15" s="16"/>
      <c r="AJQ15" s="16"/>
      <c r="AJR15" s="16"/>
      <c r="AJS15" s="16"/>
      <c r="AJT15" s="16"/>
      <c r="AJU15" s="16"/>
      <c r="AJV15" s="16"/>
      <c r="AJW15" s="16"/>
      <c r="AJX15" s="16"/>
      <c r="AJY15" s="16"/>
      <c r="AJZ15" s="16"/>
      <c r="AKA15" s="16"/>
      <c r="AKB15" s="16"/>
      <c r="AKC15" s="16"/>
      <c r="AKD15" s="16"/>
      <c r="AKE15" s="16"/>
      <c r="AKF15" s="16"/>
      <c r="AKG15" s="16"/>
      <c r="AKH15" s="16"/>
      <c r="AKI15" s="16"/>
      <c r="AKJ15" s="16"/>
      <c r="AKK15" s="16"/>
      <c r="AKL15" s="16"/>
      <c r="AKM15" s="16"/>
      <c r="AKN15" s="16"/>
      <c r="AKO15" s="16"/>
      <c r="AKP15" s="16"/>
      <c r="AKQ15" s="16"/>
      <c r="AKR15" s="16"/>
      <c r="AKS15" s="16"/>
      <c r="AKT15" s="16"/>
      <c r="AKU15" s="16"/>
      <c r="AKV15" s="16"/>
      <c r="AKW15" s="16"/>
      <c r="AKX15" s="16"/>
      <c r="AKY15" s="16"/>
      <c r="AKZ15" s="16"/>
      <c r="ALA15" s="16"/>
      <c r="ALB15" s="16"/>
      <c r="ALC15" s="16"/>
      <c r="ALD15" s="16"/>
      <c r="ALE15" s="16"/>
      <c r="ALF15" s="16"/>
      <c r="ALG15" s="16"/>
      <c r="ALH15" s="16"/>
      <c r="ALI15" s="16"/>
      <c r="ALJ15" s="16"/>
      <c r="ALK15" s="16"/>
      <c r="ALL15" s="16"/>
      <c r="ALM15" s="16"/>
      <c r="ALN15" s="16"/>
      <c r="ALO15" s="16"/>
      <c r="ALP15" s="16"/>
      <c r="ALQ15" s="16"/>
      <c r="ALR15" s="16"/>
      <c r="ALS15" s="16"/>
      <c r="ALT15" s="16"/>
      <c r="ALU15" s="16"/>
      <c r="ALV15" s="16"/>
      <c r="ALW15" s="16"/>
      <c r="ALX15" s="16"/>
      <c r="ALY15" s="16"/>
      <c r="ALZ15" s="16"/>
      <c r="AMA15" s="16"/>
      <c r="AMB15" s="16"/>
      <c r="AMC15" s="16"/>
      <c r="AMD15" s="16"/>
    </row>
    <row r="16" customFormat="false" ht="15" hidden="false" customHeight="true" outlineLevel="0" collapsed="false">
      <c r="A16" s="16"/>
      <c r="B16" s="125" t="str">
        <f aca="false">'Base Chapecó'!B18</f>
        <v>APS XANXERÊ</v>
      </c>
      <c r="C16" s="276" t="n">
        <f aca="false">VLOOKUP(B16,Unidades!$D$5:$G$28,4,)</f>
        <v>0.03</v>
      </c>
      <c r="D16" s="277" t="n">
        <f aca="false">'Base Chapecó'!AD18*12+'Base Chapecó'!AE18*4+'Base Chapecó'!AF18*2+'Base Chapecó'!AG18</f>
        <v>14004.6499683122</v>
      </c>
      <c r="E16" s="277" t="n">
        <f aca="false">'Base Chapecó'!AK18*12+'Base Chapecó'!AL18*4+'Base Chapecó'!AM18*2+'Base Chapecó'!AN18</f>
        <v>17301.3445708529</v>
      </c>
      <c r="IO16" s="16"/>
      <c r="IP16" s="16"/>
      <c r="IQ16" s="16"/>
      <c r="IR16" s="16"/>
      <c r="IS16" s="16"/>
      <c r="IT16" s="16"/>
      <c r="IU16" s="16"/>
      <c r="IV16" s="16"/>
      <c r="IW16" s="16"/>
      <c r="IX16" s="16"/>
      <c r="IY16" s="16"/>
      <c r="IZ16" s="16"/>
      <c r="JA16" s="16"/>
      <c r="JB16" s="16"/>
      <c r="JC16" s="16"/>
      <c r="JD16" s="16"/>
      <c r="JE16" s="16"/>
      <c r="JF16" s="16"/>
      <c r="JG16" s="16"/>
      <c r="JH16" s="16"/>
      <c r="JI16" s="16"/>
      <c r="JJ16" s="16"/>
      <c r="JK16" s="16"/>
      <c r="JL16" s="16"/>
      <c r="JM16" s="16"/>
      <c r="JN16" s="16"/>
      <c r="JO16" s="16"/>
      <c r="JP16" s="16"/>
      <c r="JQ16" s="16"/>
      <c r="JR16" s="16"/>
      <c r="JS16" s="16"/>
      <c r="JT16" s="16"/>
      <c r="JU16" s="16"/>
      <c r="JV16" s="16"/>
      <c r="JW16" s="16"/>
      <c r="JX16" s="16"/>
      <c r="JY16" s="16"/>
      <c r="JZ16" s="16"/>
      <c r="KA16" s="16"/>
      <c r="KB16" s="16"/>
      <c r="KC16" s="16"/>
      <c r="KD16" s="16"/>
      <c r="KE16" s="16"/>
      <c r="KF16" s="16"/>
      <c r="KG16" s="16"/>
      <c r="KH16" s="16"/>
      <c r="KI16" s="16"/>
      <c r="KJ16" s="16"/>
      <c r="KK16" s="16"/>
      <c r="KL16" s="16"/>
      <c r="KM16" s="16"/>
      <c r="KN16" s="16"/>
      <c r="KO16" s="16"/>
      <c r="KP16" s="16"/>
      <c r="KQ16" s="16"/>
      <c r="KR16" s="16"/>
      <c r="KS16" s="16"/>
      <c r="KT16" s="16"/>
      <c r="KU16" s="16"/>
      <c r="KV16" s="16"/>
      <c r="KW16" s="16"/>
      <c r="KX16" s="16"/>
      <c r="KY16" s="16"/>
      <c r="KZ16" s="16"/>
      <c r="LA16" s="16"/>
      <c r="LB16" s="16"/>
      <c r="LC16" s="16"/>
      <c r="LD16" s="16"/>
      <c r="LE16" s="16"/>
      <c r="LF16" s="16"/>
      <c r="LG16" s="16"/>
      <c r="LH16" s="16"/>
      <c r="LI16" s="16"/>
      <c r="LJ16" s="16"/>
      <c r="LK16" s="16"/>
      <c r="LL16" s="16"/>
      <c r="LM16" s="16"/>
      <c r="LN16" s="16"/>
      <c r="LO16" s="16"/>
      <c r="LP16" s="16"/>
      <c r="LQ16" s="16"/>
      <c r="LR16" s="16"/>
      <c r="LS16" s="16"/>
      <c r="LT16" s="16"/>
      <c r="LU16" s="16"/>
      <c r="LV16" s="16"/>
      <c r="LW16" s="16"/>
      <c r="LX16" s="16"/>
      <c r="LY16" s="16"/>
      <c r="LZ16" s="16"/>
      <c r="MA16" s="16"/>
      <c r="MB16" s="16"/>
      <c r="MC16" s="16"/>
      <c r="MD16" s="16"/>
      <c r="ME16" s="16"/>
      <c r="MF16" s="16"/>
      <c r="MG16" s="16"/>
      <c r="MH16" s="16"/>
      <c r="MI16" s="16"/>
      <c r="MJ16" s="16"/>
      <c r="MK16" s="16"/>
      <c r="ML16" s="16"/>
      <c r="MM16" s="16"/>
      <c r="MN16" s="16"/>
      <c r="MO16" s="16"/>
      <c r="MP16" s="16"/>
      <c r="MQ16" s="16"/>
      <c r="MR16" s="16"/>
      <c r="MS16" s="16"/>
      <c r="MT16" s="16"/>
      <c r="MU16" s="16"/>
      <c r="MV16" s="16"/>
      <c r="MW16" s="16"/>
      <c r="MX16" s="16"/>
      <c r="MY16" s="16"/>
      <c r="MZ16" s="16"/>
      <c r="NA16" s="16"/>
      <c r="NB16" s="16"/>
      <c r="NC16" s="16"/>
      <c r="ND16" s="16"/>
      <c r="NE16" s="16"/>
      <c r="NF16" s="16"/>
      <c r="NG16" s="16"/>
      <c r="NH16" s="16"/>
      <c r="NI16" s="16"/>
      <c r="NJ16" s="16"/>
      <c r="NK16" s="16"/>
      <c r="NL16" s="16"/>
      <c r="NM16" s="16"/>
      <c r="NN16" s="16"/>
      <c r="NO16" s="16"/>
      <c r="NP16" s="16"/>
      <c r="NQ16" s="16"/>
      <c r="NR16" s="16"/>
      <c r="NS16" s="16"/>
      <c r="NT16" s="16"/>
      <c r="NU16" s="16"/>
      <c r="NV16" s="16"/>
      <c r="NW16" s="16"/>
      <c r="NX16" s="16"/>
      <c r="NY16" s="16"/>
      <c r="NZ16" s="16"/>
      <c r="OA16" s="16"/>
      <c r="OB16" s="16"/>
      <c r="OC16" s="16"/>
      <c r="OD16" s="16"/>
      <c r="OE16" s="16"/>
      <c r="OF16" s="16"/>
      <c r="OG16" s="16"/>
      <c r="OH16" s="16"/>
      <c r="OI16" s="16"/>
      <c r="OJ16" s="16"/>
      <c r="OK16" s="16"/>
      <c r="OL16" s="16"/>
      <c r="OM16" s="16"/>
      <c r="ON16" s="16"/>
      <c r="OO16" s="16"/>
      <c r="OP16" s="16"/>
      <c r="OQ16" s="16"/>
      <c r="OR16" s="16"/>
      <c r="OS16" s="16"/>
      <c r="OT16" s="16"/>
      <c r="OU16" s="16"/>
      <c r="OV16" s="16"/>
      <c r="OW16" s="16"/>
      <c r="OX16" s="16"/>
      <c r="OY16" s="16"/>
      <c r="OZ16" s="16"/>
      <c r="PA16" s="16"/>
      <c r="PB16" s="16"/>
      <c r="PC16" s="16"/>
      <c r="PD16" s="16"/>
      <c r="PE16" s="16"/>
      <c r="PF16" s="16"/>
      <c r="PG16" s="16"/>
      <c r="PH16" s="16"/>
      <c r="PI16" s="16"/>
      <c r="PJ16" s="16"/>
      <c r="PK16" s="16"/>
      <c r="PL16" s="16"/>
      <c r="PM16" s="16"/>
      <c r="PN16" s="16"/>
      <c r="PO16" s="16"/>
      <c r="PP16" s="16"/>
      <c r="PQ16" s="16"/>
      <c r="PR16" s="16"/>
      <c r="PS16" s="16"/>
      <c r="PT16" s="16"/>
      <c r="PU16" s="16"/>
      <c r="PV16" s="16"/>
      <c r="PW16" s="16"/>
      <c r="PX16" s="16"/>
      <c r="PY16" s="16"/>
      <c r="PZ16" s="16"/>
      <c r="QA16" s="16"/>
      <c r="QB16" s="16"/>
      <c r="QC16" s="16"/>
      <c r="QD16" s="16"/>
      <c r="QE16" s="16"/>
      <c r="QF16" s="16"/>
      <c r="QG16" s="16"/>
      <c r="QH16" s="16"/>
      <c r="QI16" s="16"/>
      <c r="QJ16" s="16"/>
      <c r="QK16" s="16"/>
      <c r="QL16" s="16"/>
      <c r="QM16" s="16"/>
      <c r="QN16" s="16"/>
      <c r="QO16" s="16"/>
      <c r="QP16" s="16"/>
      <c r="QQ16" s="16"/>
      <c r="QR16" s="16"/>
      <c r="QS16" s="16"/>
      <c r="QT16" s="16"/>
      <c r="QU16" s="16"/>
      <c r="QV16" s="16"/>
      <c r="QW16" s="16"/>
      <c r="QX16" s="16"/>
      <c r="QY16" s="16"/>
      <c r="QZ16" s="16"/>
      <c r="RA16" s="16"/>
      <c r="RB16" s="16"/>
      <c r="RC16" s="16"/>
      <c r="RD16" s="16"/>
      <c r="RE16" s="16"/>
      <c r="RF16" s="16"/>
      <c r="RG16" s="16"/>
      <c r="RH16" s="16"/>
      <c r="RI16" s="16"/>
      <c r="RJ16" s="16"/>
      <c r="RK16" s="16"/>
      <c r="RL16" s="16"/>
      <c r="RM16" s="16"/>
      <c r="RN16" s="16"/>
      <c r="RO16" s="16"/>
      <c r="RP16" s="16"/>
      <c r="RQ16" s="16"/>
      <c r="RR16" s="16"/>
      <c r="RS16" s="16"/>
      <c r="RT16" s="16"/>
      <c r="RU16" s="16"/>
      <c r="RV16" s="16"/>
      <c r="RW16" s="16"/>
      <c r="RX16" s="16"/>
      <c r="RY16" s="16"/>
      <c r="RZ16" s="16"/>
      <c r="SA16" s="16"/>
      <c r="SB16" s="16"/>
      <c r="SC16" s="16"/>
      <c r="SD16" s="16"/>
      <c r="SE16" s="16"/>
      <c r="SF16" s="16"/>
      <c r="SG16" s="16"/>
      <c r="SH16" s="16"/>
      <c r="SI16" s="16"/>
      <c r="SJ16" s="16"/>
      <c r="SK16" s="16"/>
      <c r="SL16" s="16"/>
      <c r="SM16" s="16"/>
      <c r="SN16" s="16"/>
      <c r="SO16" s="16"/>
      <c r="SP16" s="16"/>
      <c r="SQ16" s="16"/>
      <c r="SR16" s="16"/>
      <c r="SS16" s="16"/>
      <c r="ST16" s="16"/>
      <c r="SU16" s="16"/>
      <c r="SV16" s="16"/>
      <c r="SW16" s="16"/>
      <c r="SX16" s="16"/>
      <c r="SY16" s="16"/>
      <c r="SZ16" s="16"/>
      <c r="TA16" s="16"/>
      <c r="TB16" s="16"/>
      <c r="TC16" s="16"/>
      <c r="TD16" s="16"/>
      <c r="TE16" s="16"/>
      <c r="TF16" s="16"/>
      <c r="TG16" s="16"/>
      <c r="TH16" s="16"/>
      <c r="TI16" s="16"/>
      <c r="TJ16" s="16"/>
      <c r="TK16" s="16"/>
      <c r="TL16" s="16"/>
      <c r="TM16" s="16"/>
      <c r="TN16" s="16"/>
      <c r="TO16" s="16"/>
      <c r="TP16" s="16"/>
      <c r="TQ16" s="16"/>
      <c r="TR16" s="16"/>
      <c r="TS16" s="16"/>
      <c r="TT16" s="16"/>
      <c r="TU16" s="16"/>
      <c r="TV16" s="16"/>
      <c r="TW16" s="16"/>
      <c r="TX16" s="16"/>
      <c r="TY16" s="16"/>
      <c r="TZ16" s="16"/>
      <c r="UA16" s="16"/>
      <c r="UB16" s="16"/>
      <c r="UC16" s="16"/>
      <c r="UD16" s="16"/>
      <c r="UE16" s="16"/>
      <c r="UF16" s="16"/>
      <c r="UG16" s="16"/>
      <c r="UH16" s="16"/>
      <c r="UI16" s="16"/>
      <c r="UJ16" s="16"/>
      <c r="UK16" s="16"/>
      <c r="UL16" s="16"/>
      <c r="UM16" s="16"/>
      <c r="UN16" s="16"/>
      <c r="UO16" s="16"/>
      <c r="UP16" s="16"/>
      <c r="UQ16" s="16"/>
      <c r="UR16" s="16"/>
      <c r="US16" s="16"/>
      <c r="UT16" s="16"/>
      <c r="UU16" s="16"/>
      <c r="UV16" s="16"/>
      <c r="UW16" s="16"/>
      <c r="UX16" s="16"/>
      <c r="UY16" s="16"/>
      <c r="UZ16" s="16"/>
      <c r="VA16" s="16"/>
      <c r="VB16" s="16"/>
      <c r="VC16" s="16"/>
      <c r="VD16" s="16"/>
      <c r="VE16" s="16"/>
      <c r="VF16" s="16"/>
      <c r="VG16" s="16"/>
      <c r="VH16" s="16"/>
      <c r="VI16" s="16"/>
      <c r="VJ16" s="16"/>
      <c r="VK16" s="16"/>
      <c r="VL16" s="16"/>
      <c r="VM16" s="16"/>
      <c r="VN16" s="16"/>
      <c r="VO16" s="16"/>
      <c r="VP16" s="16"/>
      <c r="VQ16" s="16"/>
      <c r="VR16" s="16"/>
      <c r="VS16" s="16"/>
      <c r="VT16" s="16"/>
      <c r="VU16" s="16"/>
      <c r="VV16" s="16"/>
      <c r="VW16" s="16"/>
      <c r="VX16" s="16"/>
      <c r="VY16" s="16"/>
      <c r="VZ16" s="16"/>
      <c r="WA16" s="16"/>
      <c r="WB16" s="16"/>
      <c r="WC16" s="16"/>
      <c r="WD16" s="16"/>
      <c r="WE16" s="16"/>
      <c r="WF16" s="16"/>
      <c r="WG16" s="16"/>
      <c r="WH16" s="16"/>
      <c r="WI16" s="16"/>
      <c r="WJ16" s="16"/>
      <c r="WK16" s="16"/>
      <c r="WL16" s="16"/>
      <c r="WM16" s="16"/>
      <c r="WN16" s="16"/>
      <c r="WO16" s="16"/>
      <c r="WP16" s="16"/>
      <c r="WQ16" s="16"/>
      <c r="WR16" s="16"/>
      <c r="WS16" s="16"/>
      <c r="WT16" s="16"/>
      <c r="WU16" s="16"/>
      <c r="WV16" s="16"/>
      <c r="WW16" s="16"/>
      <c r="WX16" s="16"/>
      <c r="WY16" s="16"/>
      <c r="WZ16" s="16"/>
      <c r="XA16" s="16"/>
      <c r="XB16" s="16"/>
      <c r="XC16" s="16"/>
      <c r="XD16" s="16"/>
      <c r="XE16" s="16"/>
      <c r="XF16" s="16"/>
      <c r="XG16" s="16"/>
      <c r="XH16" s="16"/>
      <c r="XI16" s="16"/>
      <c r="XJ16" s="16"/>
      <c r="XK16" s="16"/>
      <c r="XL16" s="16"/>
      <c r="XM16" s="16"/>
      <c r="XN16" s="16"/>
      <c r="XO16" s="16"/>
      <c r="XP16" s="16"/>
      <c r="XQ16" s="16"/>
      <c r="XR16" s="16"/>
      <c r="XS16" s="16"/>
      <c r="XT16" s="16"/>
      <c r="XU16" s="16"/>
      <c r="XV16" s="16"/>
      <c r="XW16" s="16"/>
      <c r="XX16" s="16"/>
      <c r="XY16" s="16"/>
      <c r="XZ16" s="16"/>
      <c r="YA16" s="16"/>
      <c r="YB16" s="16"/>
      <c r="YC16" s="16"/>
      <c r="YD16" s="16"/>
      <c r="YE16" s="16"/>
      <c r="YF16" s="16"/>
      <c r="YG16" s="16"/>
      <c r="YH16" s="16"/>
      <c r="YI16" s="16"/>
      <c r="YJ16" s="16"/>
      <c r="YK16" s="16"/>
      <c r="YL16" s="16"/>
      <c r="YM16" s="16"/>
      <c r="YN16" s="16"/>
      <c r="YO16" s="16"/>
      <c r="YP16" s="16"/>
      <c r="YQ16" s="16"/>
      <c r="YR16" s="16"/>
      <c r="YS16" s="16"/>
      <c r="YT16" s="16"/>
      <c r="YU16" s="16"/>
      <c r="YV16" s="16"/>
      <c r="YW16" s="16"/>
      <c r="YX16" s="16"/>
      <c r="YY16" s="16"/>
      <c r="YZ16" s="16"/>
      <c r="ZA16" s="16"/>
      <c r="ZB16" s="16"/>
      <c r="ZC16" s="16"/>
      <c r="ZD16" s="16"/>
      <c r="ZE16" s="16"/>
      <c r="ZF16" s="16"/>
      <c r="ZG16" s="16"/>
      <c r="ZH16" s="16"/>
      <c r="ZI16" s="16"/>
      <c r="ZJ16" s="16"/>
      <c r="ZK16" s="16"/>
      <c r="ZL16" s="16"/>
      <c r="ZM16" s="16"/>
      <c r="ZN16" s="16"/>
      <c r="ZO16" s="16"/>
      <c r="ZP16" s="16"/>
      <c r="ZQ16" s="16"/>
      <c r="ZR16" s="16"/>
      <c r="ZS16" s="16"/>
      <c r="ZT16" s="16"/>
      <c r="ZU16" s="16"/>
      <c r="ZV16" s="16"/>
      <c r="ZW16" s="16"/>
      <c r="ZX16" s="16"/>
      <c r="ZY16" s="16"/>
      <c r="ZZ16" s="16"/>
      <c r="AAA16" s="16"/>
      <c r="AAB16" s="16"/>
      <c r="AAC16" s="16"/>
      <c r="AAD16" s="16"/>
      <c r="AAE16" s="16"/>
      <c r="AAF16" s="16"/>
      <c r="AAG16" s="16"/>
      <c r="AAH16" s="16"/>
      <c r="AAI16" s="16"/>
      <c r="AAJ16" s="16"/>
      <c r="AAK16" s="16"/>
      <c r="AAL16" s="16"/>
      <c r="AAM16" s="16"/>
      <c r="AAN16" s="16"/>
      <c r="AAO16" s="16"/>
      <c r="AAP16" s="16"/>
      <c r="AAQ16" s="16"/>
      <c r="AAR16" s="16"/>
      <c r="AAS16" s="16"/>
      <c r="AAT16" s="16"/>
      <c r="AAU16" s="16"/>
      <c r="AAV16" s="16"/>
      <c r="AAW16" s="16"/>
      <c r="AAX16" s="16"/>
      <c r="AAY16" s="16"/>
      <c r="AAZ16" s="16"/>
      <c r="ABA16" s="16"/>
      <c r="ABB16" s="16"/>
      <c r="ABC16" s="16"/>
      <c r="ABD16" s="16"/>
      <c r="ABE16" s="16"/>
      <c r="ABF16" s="16"/>
      <c r="ABG16" s="16"/>
      <c r="ABH16" s="16"/>
      <c r="ABI16" s="16"/>
      <c r="ABJ16" s="16"/>
      <c r="ABK16" s="16"/>
      <c r="ABL16" s="16"/>
      <c r="ABM16" s="16"/>
      <c r="ABN16" s="16"/>
      <c r="ABO16" s="16"/>
      <c r="ABP16" s="16"/>
      <c r="ABQ16" s="16"/>
      <c r="ABR16" s="16"/>
      <c r="ABS16" s="16"/>
      <c r="ABT16" s="16"/>
      <c r="ABU16" s="16"/>
      <c r="ABV16" s="16"/>
      <c r="ABW16" s="16"/>
      <c r="ABX16" s="16"/>
      <c r="ABY16" s="16"/>
      <c r="ABZ16" s="16"/>
      <c r="ACA16" s="16"/>
      <c r="ACB16" s="16"/>
      <c r="ACC16" s="16"/>
      <c r="ACD16" s="16"/>
      <c r="ACE16" s="16"/>
      <c r="ACF16" s="16"/>
      <c r="ACG16" s="16"/>
      <c r="ACH16" s="16"/>
      <c r="ACI16" s="16"/>
      <c r="ACJ16" s="16"/>
      <c r="ACK16" s="16"/>
      <c r="ACL16" s="16"/>
      <c r="ACM16" s="16"/>
      <c r="ACN16" s="16"/>
      <c r="ACO16" s="16"/>
      <c r="ACP16" s="16"/>
      <c r="ACQ16" s="16"/>
      <c r="ACR16" s="16"/>
      <c r="ACS16" s="16"/>
      <c r="ACT16" s="16"/>
      <c r="ACU16" s="16"/>
      <c r="ACV16" s="16"/>
      <c r="ACW16" s="16"/>
      <c r="ACX16" s="16"/>
      <c r="ACY16" s="16"/>
      <c r="ACZ16" s="16"/>
      <c r="ADA16" s="16"/>
      <c r="ADB16" s="16"/>
      <c r="ADC16" s="16"/>
      <c r="ADD16" s="16"/>
      <c r="ADE16" s="16"/>
      <c r="ADF16" s="16"/>
      <c r="ADG16" s="16"/>
      <c r="ADH16" s="16"/>
      <c r="ADI16" s="16"/>
      <c r="ADJ16" s="16"/>
      <c r="ADK16" s="16"/>
      <c r="ADL16" s="16"/>
      <c r="ADM16" s="16"/>
      <c r="ADN16" s="16"/>
      <c r="ADO16" s="16"/>
      <c r="ADP16" s="16"/>
      <c r="ADQ16" s="16"/>
      <c r="ADR16" s="16"/>
      <c r="ADS16" s="16"/>
      <c r="ADT16" s="16"/>
      <c r="ADU16" s="16"/>
      <c r="ADV16" s="16"/>
      <c r="ADW16" s="16"/>
      <c r="ADX16" s="16"/>
      <c r="ADY16" s="16"/>
      <c r="ADZ16" s="16"/>
      <c r="AEA16" s="16"/>
      <c r="AEB16" s="16"/>
      <c r="AEC16" s="16"/>
      <c r="AED16" s="16"/>
      <c r="AEE16" s="16"/>
      <c r="AEF16" s="16"/>
      <c r="AEG16" s="16"/>
      <c r="AEH16" s="16"/>
      <c r="AEI16" s="16"/>
      <c r="AEJ16" s="16"/>
      <c r="AEK16" s="16"/>
      <c r="AEL16" s="16"/>
      <c r="AEM16" s="16"/>
      <c r="AEN16" s="16"/>
      <c r="AEO16" s="16"/>
      <c r="AEP16" s="16"/>
      <c r="AEQ16" s="16"/>
      <c r="AER16" s="16"/>
      <c r="AES16" s="16"/>
      <c r="AET16" s="16"/>
      <c r="AEU16" s="16"/>
      <c r="AEV16" s="16"/>
      <c r="AEW16" s="16"/>
      <c r="AEX16" s="16"/>
      <c r="AEY16" s="16"/>
      <c r="AEZ16" s="16"/>
      <c r="AFA16" s="16"/>
      <c r="AFB16" s="16"/>
      <c r="AFC16" s="16"/>
      <c r="AFD16" s="16"/>
      <c r="AFE16" s="16"/>
      <c r="AFF16" s="16"/>
      <c r="AFG16" s="16"/>
      <c r="AFH16" s="16"/>
      <c r="AFI16" s="16"/>
      <c r="AFJ16" s="16"/>
      <c r="AFK16" s="16"/>
      <c r="AFL16" s="16"/>
      <c r="AFM16" s="16"/>
      <c r="AFN16" s="16"/>
      <c r="AFO16" s="16"/>
      <c r="AFP16" s="16"/>
      <c r="AFQ16" s="16"/>
      <c r="AFR16" s="16"/>
      <c r="AFS16" s="16"/>
      <c r="AFT16" s="16"/>
      <c r="AFU16" s="16"/>
      <c r="AFV16" s="16"/>
      <c r="AFW16" s="16"/>
      <c r="AFX16" s="16"/>
      <c r="AFY16" s="16"/>
      <c r="AFZ16" s="16"/>
      <c r="AGA16" s="16"/>
      <c r="AGB16" s="16"/>
      <c r="AGC16" s="16"/>
      <c r="AGD16" s="16"/>
      <c r="AGE16" s="16"/>
      <c r="AGF16" s="16"/>
      <c r="AGG16" s="16"/>
      <c r="AGH16" s="16"/>
      <c r="AGI16" s="16"/>
      <c r="AGJ16" s="16"/>
      <c r="AGK16" s="16"/>
      <c r="AGL16" s="16"/>
      <c r="AGM16" s="16"/>
      <c r="AGN16" s="16"/>
      <c r="AGO16" s="16"/>
      <c r="AGP16" s="16"/>
      <c r="AGQ16" s="16"/>
      <c r="AGR16" s="16"/>
      <c r="AGS16" s="16"/>
      <c r="AGT16" s="16"/>
      <c r="AGU16" s="16"/>
      <c r="AGV16" s="16"/>
      <c r="AGW16" s="16"/>
      <c r="AGX16" s="16"/>
      <c r="AGY16" s="16"/>
      <c r="AGZ16" s="16"/>
      <c r="AHA16" s="16"/>
      <c r="AHB16" s="16"/>
      <c r="AHC16" s="16"/>
      <c r="AHD16" s="16"/>
      <c r="AHE16" s="16"/>
      <c r="AHF16" s="16"/>
      <c r="AHG16" s="16"/>
      <c r="AHH16" s="16"/>
      <c r="AHI16" s="16"/>
      <c r="AHJ16" s="16"/>
      <c r="AHK16" s="16"/>
      <c r="AHL16" s="16"/>
      <c r="AHM16" s="16"/>
      <c r="AHN16" s="16"/>
      <c r="AHO16" s="16"/>
      <c r="AHP16" s="16"/>
      <c r="AHQ16" s="16"/>
      <c r="AHR16" s="16"/>
      <c r="AHS16" s="16"/>
      <c r="AHT16" s="16"/>
      <c r="AHU16" s="16"/>
      <c r="AHV16" s="16"/>
      <c r="AHW16" s="16"/>
      <c r="AHX16" s="16"/>
      <c r="AHY16" s="16"/>
      <c r="AHZ16" s="16"/>
      <c r="AIA16" s="16"/>
      <c r="AIB16" s="16"/>
      <c r="AIC16" s="16"/>
      <c r="AID16" s="16"/>
      <c r="AIE16" s="16"/>
      <c r="AIF16" s="16"/>
      <c r="AIG16" s="16"/>
      <c r="AIH16" s="16"/>
      <c r="AII16" s="16"/>
      <c r="AIJ16" s="16"/>
      <c r="AIK16" s="16"/>
      <c r="AIL16" s="16"/>
      <c r="AIM16" s="16"/>
      <c r="AIN16" s="16"/>
      <c r="AIO16" s="16"/>
      <c r="AIP16" s="16"/>
      <c r="AIQ16" s="16"/>
      <c r="AIR16" s="16"/>
      <c r="AIS16" s="16"/>
      <c r="AIT16" s="16"/>
      <c r="AIU16" s="16"/>
      <c r="AIV16" s="16"/>
      <c r="AIW16" s="16"/>
      <c r="AIX16" s="16"/>
      <c r="AIY16" s="16"/>
      <c r="AIZ16" s="16"/>
      <c r="AJA16" s="16"/>
      <c r="AJB16" s="16"/>
      <c r="AJC16" s="16"/>
      <c r="AJD16" s="16"/>
      <c r="AJE16" s="16"/>
      <c r="AJF16" s="16"/>
      <c r="AJG16" s="16"/>
      <c r="AJH16" s="16"/>
      <c r="AJI16" s="16"/>
      <c r="AJJ16" s="16"/>
      <c r="AJK16" s="16"/>
      <c r="AJL16" s="16"/>
      <c r="AJM16" s="16"/>
      <c r="AJN16" s="16"/>
      <c r="AJO16" s="16"/>
      <c r="AJP16" s="16"/>
      <c r="AJQ16" s="16"/>
      <c r="AJR16" s="16"/>
      <c r="AJS16" s="16"/>
      <c r="AJT16" s="16"/>
      <c r="AJU16" s="16"/>
      <c r="AJV16" s="16"/>
      <c r="AJW16" s="16"/>
      <c r="AJX16" s="16"/>
      <c r="AJY16" s="16"/>
      <c r="AJZ16" s="16"/>
      <c r="AKA16" s="16"/>
      <c r="AKB16" s="16"/>
      <c r="AKC16" s="16"/>
      <c r="AKD16" s="16"/>
      <c r="AKE16" s="16"/>
      <c r="AKF16" s="16"/>
      <c r="AKG16" s="16"/>
      <c r="AKH16" s="16"/>
      <c r="AKI16" s="16"/>
      <c r="AKJ16" s="16"/>
      <c r="AKK16" s="16"/>
      <c r="AKL16" s="16"/>
      <c r="AKM16" s="16"/>
      <c r="AKN16" s="16"/>
      <c r="AKO16" s="16"/>
      <c r="AKP16" s="16"/>
      <c r="AKQ16" s="16"/>
      <c r="AKR16" s="16"/>
      <c r="AKS16" s="16"/>
      <c r="AKT16" s="16"/>
      <c r="AKU16" s="16"/>
      <c r="AKV16" s="16"/>
      <c r="AKW16" s="16"/>
      <c r="AKX16" s="16"/>
      <c r="AKY16" s="16"/>
      <c r="AKZ16" s="16"/>
      <c r="ALA16" s="16"/>
      <c r="ALB16" s="16"/>
      <c r="ALC16" s="16"/>
      <c r="ALD16" s="16"/>
      <c r="ALE16" s="16"/>
      <c r="ALF16" s="16"/>
      <c r="ALG16" s="16"/>
      <c r="ALH16" s="16"/>
      <c r="ALI16" s="16"/>
      <c r="ALJ16" s="16"/>
      <c r="ALK16" s="16"/>
      <c r="ALL16" s="16"/>
      <c r="ALM16" s="16"/>
      <c r="ALN16" s="16"/>
      <c r="ALO16" s="16"/>
      <c r="ALP16" s="16"/>
      <c r="ALQ16" s="16"/>
      <c r="ALR16" s="16"/>
      <c r="ALS16" s="16"/>
      <c r="ALT16" s="16"/>
      <c r="ALU16" s="16"/>
      <c r="ALV16" s="16"/>
      <c r="ALW16" s="16"/>
      <c r="ALX16" s="16"/>
      <c r="ALY16" s="16"/>
      <c r="ALZ16" s="16"/>
      <c r="AMA16" s="16"/>
      <c r="AMB16" s="16"/>
      <c r="AMC16" s="16"/>
      <c r="AMD16" s="16"/>
    </row>
    <row r="17" customFormat="false" ht="15" hidden="false" customHeight="true" outlineLevel="0" collapsed="false">
      <c r="A17" s="16"/>
      <c r="B17" s="125" t="str">
        <f aca="false">'Base Chapecó'!B19</f>
        <v>APS XAXIM</v>
      </c>
      <c r="C17" s="276" t="n">
        <f aca="false">VLOOKUP(B17,Unidades!$D$5:$G$28,4,)</f>
        <v>0.03</v>
      </c>
      <c r="D17" s="277" t="n">
        <f aca="false">'Base Chapecó'!AD19*12+'Base Chapecó'!AE19*4+'Base Chapecó'!AF19*2+'Base Chapecó'!AG19</f>
        <v>8700.61358173202</v>
      </c>
      <c r="E17" s="277" t="n">
        <f aca="false">'Base Chapecó'!AK19*12+'Base Chapecó'!AL19*4+'Base Chapecó'!AM19*2+'Base Chapecó'!AN19</f>
        <v>10748.7380188717</v>
      </c>
      <c r="IO17" s="16"/>
      <c r="IP17" s="16"/>
      <c r="IQ17" s="16"/>
      <c r="IR17" s="16"/>
      <c r="IS17" s="16"/>
      <c r="IT17" s="16"/>
      <c r="IU17" s="16"/>
      <c r="IV17" s="16"/>
      <c r="IW17" s="16"/>
      <c r="IX17" s="16"/>
      <c r="IY17" s="16"/>
      <c r="IZ17" s="16"/>
      <c r="JA17" s="16"/>
      <c r="JB17" s="16"/>
      <c r="JC17" s="16"/>
      <c r="JD17" s="16"/>
      <c r="JE17" s="16"/>
      <c r="JF17" s="16"/>
      <c r="JG17" s="16"/>
      <c r="JH17" s="16"/>
      <c r="JI17" s="16"/>
      <c r="JJ17" s="16"/>
      <c r="JK17" s="16"/>
      <c r="JL17" s="16"/>
      <c r="JM17" s="16"/>
      <c r="JN17" s="16"/>
      <c r="JO17" s="16"/>
      <c r="JP17" s="16"/>
      <c r="JQ17" s="16"/>
      <c r="JR17" s="16"/>
      <c r="JS17" s="16"/>
      <c r="JT17" s="16"/>
      <c r="JU17" s="16"/>
      <c r="JV17" s="16"/>
      <c r="JW17" s="16"/>
      <c r="JX17" s="16"/>
      <c r="JY17" s="16"/>
      <c r="JZ17" s="16"/>
      <c r="KA17" s="16"/>
      <c r="KB17" s="16"/>
      <c r="KC17" s="16"/>
      <c r="KD17" s="16"/>
      <c r="KE17" s="16"/>
      <c r="KF17" s="16"/>
      <c r="KG17" s="16"/>
      <c r="KH17" s="16"/>
      <c r="KI17" s="16"/>
      <c r="KJ17" s="16"/>
      <c r="KK17" s="16"/>
      <c r="KL17" s="16"/>
      <c r="KM17" s="16"/>
      <c r="KN17" s="16"/>
      <c r="KO17" s="16"/>
      <c r="KP17" s="16"/>
      <c r="KQ17" s="16"/>
      <c r="KR17" s="16"/>
      <c r="KS17" s="16"/>
      <c r="KT17" s="16"/>
      <c r="KU17" s="16"/>
      <c r="KV17" s="16"/>
      <c r="KW17" s="16"/>
      <c r="KX17" s="16"/>
      <c r="KY17" s="16"/>
      <c r="KZ17" s="16"/>
      <c r="LA17" s="16"/>
      <c r="LB17" s="16"/>
      <c r="LC17" s="16"/>
      <c r="LD17" s="16"/>
      <c r="LE17" s="16"/>
      <c r="LF17" s="16"/>
      <c r="LG17" s="16"/>
      <c r="LH17" s="16"/>
      <c r="LI17" s="16"/>
      <c r="LJ17" s="16"/>
      <c r="LK17" s="16"/>
      <c r="LL17" s="16"/>
      <c r="LM17" s="16"/>
      <c r="LN17" s="16"/>
      <c r="LO17" s="16"/>
      <c r="LP17" s="16"/>
      <c r="LQ17" s="16"/>
      <c r="LR17" s="16"/>
      <c r="LS17" s="16"/>
      <c r="LT17" s="16"/>
      <c r="LU17" s="16"/>
      <c r="LV17" s="16"/>
      <c r="LW17" s="16"/>
      <c r="LX17" s="16"/>
      <c r="LY17" s="16"/>
      <c r="LZ17" s="16"/>
      <c r="MA17" s="16"/>
      <c r="MB17" s="16"/>
      <c r="MC17" s="16"/>
      <c r="MD17" s="16"/>
      <c r="ME17" s="16"/>
      <c r="MF17" s="16"/>
      <c r="MG17" s="16"/>
      <c r="MH17" s="16"/>
      <c r="MI17" s="16"/>
      <c r="MJ17" s="16"/>
      <c r="MK17" s="16"/>
      <c r="ML17" s="16"/>
      <c r="MM17" s="16"/>
      <c r="MN17" s="16"/>
      <c r="MO17" s="16"/>
      <c r="MP17" s="16"/>
      <c r="MQ17" s="16"/>
      <c r="MR17" s="16"/>
      <c r="MS17" s="16"/>
      <c r="MT17" s="16"/>
      <c r="MU17" s="16"/>
      <c r="MV17" s="16"/>
      <c r="MW17" s="16"/>
      <c r="MX17" s="16"/>
      <c r="MY17" s="16"/>
      <c r="MZ17" s="16"/>
      <c r="NA17" s="16"/>
      <c r="NB17" s="16"/>
      <c r="NC17" s="16"/>
      <c r="ND17" s="16"/>
      <c r="NE17" s="16"/>
      <c r="NF17" s="16"/>
      <c r="NG17" s="16"/>
      <c r="NH17" s="16"/>
      <c r="NI17" s="16"/>
      <c r="NJ17" s="16"/>
      <c r="NK17" s="16"/>
      <c r="NL17" s="16"/>
      <c r="NM17" s="16"/>
      <c r="NN17" s="16"/>
      <c r="NO17" s="16"/>
      <c r="NP17" s="16"/>
      <c r="NQ17" s="16"/>
      <c r="NR17" s="16"/>
      <c r="NS17" s="16"/>
      <c r="NT17" s="16"/>
      <c r="NU17" s="16"/>
      <c r="NV17" s="16"/>
      <c r="NW17" s="16"/>
      <c r="NX17" s="16"/>
      <c r="NY17" s="16"/>
      <c r="NZ17" s="16"/>
      <c r="OA17" s="16"/>
      <c r="OB17" s="16"/>
      <c r="OC17" s="16"/>
      <c r="OD17" s="16"/>
      <c r="OE17" s="16"/>
      <c r="OF17" s="16"/>
      <c r="OG17" s="16"/>
      <c r="OH17" s="16"/>
      <c r="OI17" s="16"/>
      <c r="OJ17" s="16"/>
      <c r="OK17" s="16"/>
      <c r="OL17" s="16"/>
      <c r="OM17" s="16"/>
      <c r="ON17" s="16"/>
      <c r="OO17" s="16"/>
      <c r="OP17" s="16"/>
      <c r="OQ17" s="16"/>
      <c r="OR17" s="16"/>
      <c r="OS17" s="16"/>
      <c r="OT17" s="16"/>
      <c r="OU17" s="16"/>
      <c r="OV17" s="16"/>
      <c r="OW17" s="16"/>
      <c r="OX17" s="16"/>
      <c r="OY17" s="16"/>
      <c r="OZ17" s="16"/>
      <c r="PA17" s="16"/>
      <c r="PB17" s="16"/>
      <c r="PC17" s="16"/>
      <c r="PD17" s="16"/>
      <c r="PE17" s="16"/>
      <c r="PF17" s="16"/>
      <c r="PG17" s="16"/>
      <c r="PH17" s="16"/>
      <c r="PI17" s="16"/>
      <c r="PJ17" s="16"/>
      <c r="PK17" s="16"/>
      <c r="PL17" s="16"/>
      <c r="PM17" s="16"/>
      <c r="PN17" s="16"/>
      <c r="PO17" s="16"/>
      <c r="PP17" s="16"/>
      <c r="PQ17" s="16"/>
      <c r="PR17" s="16"/>
      <c r="PS17" s="16"/>
      <c r="PT17" s="16"/>
      <c r="PU17" s="16"/>
      <c r="PV17" s="16"/>
      <c r="PW17" s="16"/>
      <c r="PX17" s="16"/>
      <c r="PY17" s="16"/>
      <c r="PZ17" s="16"/>
      <c r="QA17" s="16"/>
      <c r="QB17" s="16"/>
      <c r="QC17" s="16"/>
      <c r="QD17" s="16"/>
      <c r="QE17" s="16"/>
      <c r="QF17" s="16"/>
      <c r="QG17" s="16"/>
      <c r="QH17" s="16"/>
      <c r="QI17" s="16"/>
      <c r="QJ17" s="16"/>
      <c r="QK17" s="16"/>
      <c r="QL17" s="16"/>
      <c r="QM17" s="16"/>
      <c r="QN17" s="16"/>
      <c r="QO17" s="16"/>
      <c r="QP17" s="16"/>
      <c r="QQ17" s="16"/>
      <c r="QR17" s="16"/>
      <c r="QS17" s="16"/>
      <c r="QT17" s="16"/>
      <c r="QU17" s="16"/>
      <c r="QV17" s="16"/>
      <c r="QW17" s="16"/>
      <c r="QX17" s="16"/>
      <c r="QY17" s="16"/>
      <c r="QZ17" s="16"/>
      <c r="RA17" s="16"/>
      <c r="RB17" s="16"/>
      <c r="RC17" s="16"/>
      <c r="RD17" s="16"/>
      <c r="RE17" s="16"/>
      <c r="RF17" s="16"/>
      <c r="RG17" s="16"/>
      <c r="RH17" s="16"/>
      <c r="RI17" s="16"/>
      <c r="RJ17" s="16"/>
      <c r="RK17" s="16"/>
      <c r="RL17" s="16"/>
      <c r="RM17" s="16"/>
      <c r="RN17" s="16"/>
      <c r="RO17" s="16"/>
      <c r="RP17" s="16"/>
      <c r="RQ17" s="16"/>
      <c r="RR17" s="16"/>
      <c r="RS17" s="16"/>
      <c r="RT17" s="16"/>
      <c r="RU17" s="16"/>
      <c r="RV17" s="16"/>
      <c r="RW17" s="16"/>
      <c r="RX17" s="16"/>
      <c r="RY17" s="16"/>
      <c r="RZ17" s="16"/>
      <c r="SA17" s="16"/>
      <c r="SB17" s="16"/>
      <c r="SC17" s="16"/>
      <c r="SD17" s="16"/>
      <c r="SE17" s="16"/>
      <c r="SF17" s="16"/>
      <c r="SG17" s="16"/>
      <c r="SH17" s="16"/>
      <c r="SI17" s="16"/>
      <c r="SJ17" s="16"/>
      <c r="SK17" s="16"/>
      <c r="SL17" s="16"/>
      <c r="SM17" s="16"/>
      <c r="SN17" s="16"/>
      <c r="SO17" s="16"/>
      <c r="SP17" s="16"/>
      <c r="SQ17" s="16"/>
      <c r="SR17" s="16"/>
      <c r="SS17" s="16"/>
      <c r="ST17" s="16"/>
      <c r="SU17" s="16"/>
      <c r="SV17" s="16"/>
      <c r="SW17" s="16"/>
      <c r="SX17" s="16"/>
      <c r="SY17" s="16"/>
      <c r="SZ17" s="16"/>
      <c r="TA17" s="16"/>
      <c r="TB17" s="16"/>
      <c r="TC17" s="16"/>
      <c r="TD17" s="16"/>
      <c r="TE17" s="16"/>
      <c r="TF17" s="16"/>
      <c r="TG17" s="16"/>
      <c r="TH17" s="16"/>
      <c r="TI17" s="16"/>
      <c r="TJ17" s="16"/>
      <c r="TK17" s="16"/>
      <c r="TL17" s="16"/>
      <c r="TM17" s="16"/>
      <c r="TN17" s="16"/>
      <c r="TO17" s="16"/>
      <c r="TP17" s="16"/>
      <c r="TQ17" s="16"/>
      <c r="TR17" s="16"/>
      <c r="TS17" s="16"/>
      <c r="TT17" s="16"/>
      <c r="TU17" s="16"/>
      <c r="TV17" s="16"/>
      <c r="TW17" s="16"/>
      <c r="TX17" s="16"/>
      <c r="TY17" s="16"/>
      <c r="TZ17" s="16"/>
      <c r="UA17" s="16"/>
      <c r="UB17" s="16"/>
      <c r="UC17" s="16"/>
      <c r="UD17" s="16"/>
      <c r="UE17" s="16"/>
      <c r="UF17" s="16"/>
      <c r="UG17" s="16"/>
      <c r="UH17" s="16"/>
      <c r="UI17" s="16"/>
      <c r="UJ17" s="16"/>
      <c r="UK17" s="16"/>
      <c r="UL17" s="16"/>
      <c r="UM17" s="16"/>
      <c r="UN17" s="16"/>
      <c r="UO17" s="16"/>
      <c r="UP17" s="16"/>
      <c r="UQ17" s="16"/>
      <c r="UR17" s="16"/>
      <c r="US17" s="16"/>
      <c r="UT17" s="16"/>
      <c r="UU17" s="16"/>
      <c r="UV17" s="16"/>
      <c r="UW17" s="16"/>
      <c r="UX17" s="16"/>
      <c r="UY17" s="16"/>
      <c r="UZ17" s="16"/>
      <c r="VA17" s="16"/>
      <c r="VB17" s="16"/>
      <c r="VC17" s="16"/>
      <c r="VD17" s="16"/>
      <c r="VE17" s="16"/>
      <c r="VF17" s="16"/>
      <c r="VG17" s="16"/>
      <c r="VH17" s="16"/>
      <c r="VI17" s="16"/>
      <c r="VJ17" s="16"/>
      <c r="VK17" s="16"/>
      <c r="VL17" s="16"/>
      <c r="VM17" s="16"/>
      <c r="VN17" s="16"/>
      <c r="VO17" s="16"/>
      <c r="VP17" s="16"/>
      <c r="VQ17" s="16"/>
      <c r="VR17" s="16"/>
      <c r="VS17" s="16"/>
      <c r="VT17" s="16"/>
      <c r="VU17" s="16"/>
      <c r="VV17" s="16"/>
      <c r="VW17" s="16"/>
      <c r="VX17" s="16"/>
      <c r="VY17" s="16"/>
      <c r="VZ17" s="16"/>
      <c r="WA17" s="16"/>
      <c r="WB17" s="16"/>
      <c r="WC17" s="16"/>
      <c r="WD17" s="16"/>
      <c r="WE17" s="16"/>
      <c r="WF17" s="16"/>
      <c r="WG17" s="16"/>
      <c r="WH17" s="16"/>
      <c r="WI17" s="16"/>
      <c r="WJ17" s="16"/>
      <c r="WK17" s="16"/>
      <c r="WL17" s="16"/>
      <c r="WM17" s="16"/>
      <c r="WN17" s="16"/>
      <c r="WO17" s="16"/>
      <c r="WP17" s="16"/>
      <c r="WQ17" s="16"/>
      <c r="WR17" s="16"/>
      <c r="WS17" s="16"/>
      <c r="WT17" s="16"/>
      <c r="WU17" s="16"/>
      <c r="WV17" s="16"/>
      <c r="WW17" s="16"/>
      <c r="WX17" s="16"/>
      <c r="WY17" s="16"/>
      <c r="WZ17" s="16"/>
      <c r="XA17" s="16"/>
      <c r="XB17" s="16"/>
      <c r="XC17" s="16"/>
      <c r="XD17" s="16"/>
      <c r="XE17" s="16"/>
      <c r="XF17" s="16"/>
      <c r="XG17" s="16"/>
      <c r="XH17" s="16"/>
      <c r="XI17" s="16"/>
      <c r="XJ17" s="16"/>
      <c r="XK17" s="16"/>
      <c r="XL17" s="16"/>
      <c r="XM17" s="16"/>
      <c r="XN17" s="16"/>
      <c r="XO17" s="16"/>
      <c r="XP17" s="16"/>
      <c r="XQ17" s="16"/>
      <c r="XR17" s="16"/>
      <c r="XS17" s="16"/>
      <c r="XT17" s="16"/>
      <c r="XU17" s="16"/>
      <c r="XV17" s="16"/>
      <c r="XW17" s="16"/>
      <c r="XX17" s="16"/>
      <c r="XY17" s="16"/>
      <c r="XZ17" s="16"/>
      <c r="YA17" s="16"/>
      <c r="YB17" s="16"/>
      <c r="YC17" s="16"/>
      <c r="YD17" s="16"/>
      <c r="YE17" s="16"/>
      <c r="YF17" s="16"/>
      <c r="YG17" s="16"/>
      <c r="YH17" s="16"/>
      <c r="YI17" s="16"/>
      <c r="YJ17" s="16"/>
      <c r="YK17" s="16"/>
      <c r="YL17" s="16"/>
      <c r="YM17" s="16"/>
      <c r="YN17" s="16"/>
      <c r="YO17" s="16"/>
      <c r="YP17" s="16"/>
      <c r="YQ17" s="16"/>
      <c r="YR17" s="16"/>
      <c r="YS17" s="16"/>
      <c r="YT17" s="16"/>
      <c r="YU17" s="16"/>
      <c r="YV17" s="16"/>
      <c r="YW17" s="16"/>
      <c r="YX17" s="16"/>
      <c r="YY17" s="16"/>
      <c r="YZ17" s="16"/>
      <c r="ZA17" s="16"/>
      <c r="ZB17" s="16"/>
      <c r="ZC17" s="16"/>
      <c r="ZD17" s="16"/>
      <c r="ZE17" s="16"/>
      <c r="ZF17" s="16"/>
      <c r="ZG17" s="16"/>
      <c r="ZH17" s="16"/>
      <c r="ZI17" s="16"/>
      <c r="ZJ17" s="16"/>
      <c r="ZK17" s="16"/>
      <c r="ZL17" s="16"/>
      <c r="ZM17" s="16"/>
      <c r="ZN17" s="16"/>
      <c r="ZO17" s="16"/>
      <c r="ZP17" s="16"/>
      <c r="ZQ17" s="16"/>
      <c r="ZR17" s="16"/>
      <c r="ZS17" s="16"/>
      <c r="ZT17" s="16"/>
      <c r="ZU17" s="16"/>
      <c r="ZV17" s="16"/>
      <c r="ZW17" s="16"/>
      <c r="ZX17" s="16"/>
      <c r="ZY17" s="16"/>
      <c r="ZZ17" s="16"/>
      <c r="AAA17" s="16"/>
      <c r="AAB17" s="16"/>
      <c r="AAC17" s="16"/>
      <c r="AAD17" s="16"/>
      <c r="AAE17" s="16"/>
      <c r="AAF17" s="16"/>
      <c r="AAG17" s="16"/>
      <c r="AAH17" s="16"/>
      <c r="AAI17" s="16"/>
      <c r="AAJ17" s="16"/>
      <c r="AAK17" s="16"/>
      <c r="AAL17" s="16"/>
      <c r="AAM17" s="16"/>
      <c r="AAN17" s="16"/>
      <c r="AAO17" s="16"/>
      <c r="AAP17" s="16"/>
      <c r="AAQ17" s="16"/>
      <c r="AAR17" s="16"/>
      <c r="AAS17" s="16"/>
      <c r="AAT17" s="16"/>
      <c r="AAU17" s="16"/>
      <c r="AAV17" s="16"/>
      <c r="AAW17" s="16"/>
      <c r="AAX17" s="16"/>
      <c r="AAY17" s="16"/>
      <c r="AAZ17" s="16"/>
      <c r="ABA17" s="16"/>
      <c r="ABB17" s="16"/>
      <c r="ABC17" s="16"/>
      <c r="ABD17" s="16"/>
      <c r="ABE17" s="16"/>
      <c r="ABF17" s="16"/>
      <c r="ABG17" s="16"/>
      <c r="ABH17" s="16"/>
      <c r="ABI17" s="16"/>
      <c r="ABJ17" s="16"/>
      <c r="ABK17" s="16"/>
      <c r="ABL17" s="16"/>
      <c r="ABM17" s="16"/>
      <c r="ABN17" s="16"/>
      <c r="ABO17" s="16"/>
      <c r="ABP17" s="16"/>
      <c r="ABQ17" s="16"/>
      <c r="ABR17" s="16"/>
      <c r="ABS17" s="16"/>
      <c r="ABT17" s="16"/>
      <c r="ABU17" s="16"/>
      <c r="ABV17" s="16"/>
      <c r="ABW17" s="16"/>
      <c r="ABX17" s="16"/>
      <c r="ABY17" s="16"/>
      <c r="ABZ17" s="16"/>
      <c r="ACA17" s="16"/>
      <c r="ACB17" s="16"/>
      <c r="ACC17" s="16"/>
      <c r="ACD17" s="16"/>
      <c r="ACE17" s="16"/>
      <c r="ACF17" s="16"/>
      <c r="ACG17" s="16"/>
      <c r="ACH17" s="16"/>
      <c r="ACI17" s="16"/>
      <c r="ACJ17" s="16"/>
      <c r="ACK17" s="16"/>
      <c r="ACL17" s="16"/>
      <c r="ACM17" s="16"/>
      <c r="ACN17" s="16"/>
      <c r="ACO17" s="16"/>
      <c r="ACP17" s="16"/>
      <c r="ACQ17" s="16"/>
      <c r="ACR17" s="16"/>
      <c r="ACS17" s="16"/>
      <c r="ACT17" s="16"/>
      <c r="ACU17" s="16"/>
      <c r="ACV17" s="16"/>
      <c r="ACW17" s="16"/>
      <c r="ACX17" s="16"/>
      <c r="ACY17" s="16"/>
      <c r="ACZ17" s="16"/>
      <c r="ADA17" s="16"/>
      <c r="ADB17" s="16"/>
      <c r="ADC17" s="16"/>
      <c r="ADD17" s="16"/>
      <c r="ADE17" s="16"/>
      <c r="ADF17" s="16"/>
      <c r="ADG17" s="16"/>
      <c r="ADH17" s="16"/>
      <c r="ADI17" s="16"/>
      <c r="ADJ17" s="16"/>
      <c r="ADK17" s="16"/>
      <c r="ADL17" s="16"/>
      <c r="ADM17" s="16"/>
      <c r="ADN17" s="16"/>
      <c r="ADO17" s="16"/>
      <c r="ADP17" s="16"/>
      <c r="ADQ17" s="16"/>
      <c r="ADR17" s="16"/>
      <c r="ADS17" s="16"/>
      <c r="ADT17" s="16"/>
      <c r="ADU17" s="16"/>
      <c r="ADV17" s="16"/>
      <c r="ADW17" s="16"/>
      <c r="ADX17" s="16"/>
      <c r="ADY17" s="16"/>
      <c r="ADZ17" s="16"/>
      <c r="AEA17" s="16"/>
      <c r="AEB17" s="16"/>
      <c r="AEC17" s="16"/>
      <c r="AED17" s="16"/>
      <c r="AEE17" s="16"/>
      <c r="AEF17" s="16"/>
      <c r="AEG17" s="16"/>
      <c r="AEH17" s="16"/>
      <c r="AEI17" s="16"/>
      <c r="AEJ17" s="16"/>
      <c r="AEK17" s="16"/>
      <c r="AEL17" s="16"/>
      <c r="AEM17" s="16"/>
      <c r="AEN17" s="16"/>
      <c r="AEO17" s="16"/>
      <c r="AEP17" s="16"/>
      <c r="AEQ17" s="16"/>
      <c r="AER17" s="16"/>
      <c r="AES17" s="16"/>
      <c r="AET17" s="16"/>
      <c r="AEU17" s="16"/>
      <c r="AEV17" s="16"/>
      <c r="AEW17" s="16"/>
      <c r="AEX17" s="16"/>
      <c r="AEY17" s="16"/>
      <c r="AEZ17" s="16"/>
      <c r="AFA17" s="16"/>
      <c r="AFB17" s="16"/>
      <c r="AFC17" s="16"/>
      <c r="AFD17" s="16"/>
      <c r="AFE17" s="16"/>
      <c r="AFF17" s="16"/>
      <c r="AFG17" s="16"/>
      <c r="AFH17" s="16"/>
      <c r="AFI17" s="16"/>
      <c r="AFJ17" s="16"/>
      <c r="AFK17" s="16"/>
      <c r="AFL17" s="16"/>
      <c r="AFM17" s="16"/>
      <c r="AFN17" s="16"/>
      <c r="AFO17" s="16"/>
      <c r="AFP17" s="16"/>
      <c r="AFQ17" s="16"/>
      <c r="AFR17" s="16"/>
      <c r="AFS17" s="16"/>
      <c r="AFT17" s="16"/>
      <c r="AFU17" s="16"/>
      <c r="AFV17" s="16"/>
      <c r="AFW17" s="16"/>
      <c r="AFX17" s="16"/>
      <c r="AFY17" s="16"/>
      <c r="AFZ17" s="16"/>
      <c r="AGA17" s="16"/>
      <c r="AGB17" s="16"/>
      <c r="AGC17" s="16"/>
      <c r="AGD17" s="16"/>
      <c r="AGE17" s="16"/>
      <c r="AGF17" s="16"/>
      <c r="AGG17" s="16"/>
      <c r="AGH17" s="16"/>
      <c r="AGI17" s="16"/>
      <c r="AGJ17" s="16"/>
      <c r="AGK17" s="16"/>
      <c r="AGL17" s="16"/>
      <c r="AGM17" s="16"/>
      <c r="AGN17" s="16"/>
      <c r="AGO17" s="16"/>
      <c r="AGP17" s="16"/>
      <c r="AGQ17" s="16"/>
      <c r="AGR17" s="16"/>
      <c r="AGS17" s="16"/>
      <c r="AGT17" s="16"/>
      <c r="AGU17" s="16"/>
      <c r="AGV17" s="16"/>
      <c r="AGW17" s="16"/>
      <c r="AGX17" s="16"/>
      <c r="AGY17" s="16"/>
      <c r="AGZ17" s="16"/>
      <c r="AHA17" s="16"/>
      <c r="AHB17" s="16"/>
      <c r="AHC17" s="16"/>
      <c r="AHD17" s="16"/>
      <c r="AHE17" s="16"/>
      <c r="AHF17" s="16"/>
      <c r="AHG17" s="16"/>
      <c r="AHH17" s="16"/>
      <c r="AHI17" s="16"/>
      <c r="AHJ17" s="16"/>
      <c r="AHK17" s="16"/>
      <c r="AHL17" s="16"/>
      <c r="AHM17" s="16"/>
      <c r="AHN17" s="16"/>
      <c r="AHO17" s="16"/>
      <c r="AHP17" s="16"/>
      <c r="AHQ17" s="16"/>
      <c r="AHR17" s="16"/>
      <c r="AHS17" s="16"/>
      <c r="AHT17" s="16"/>
      <c r="AHU17" s="16"/>
      <c r="AHV17" s="16"/>
      <c r="AHW17" s="16"/>
      <c r="AHX17" s="16"/>
      <c r="AHY17" s="16"/>
      <c r="AHZ17" s="16"/>
      <c r="AIA17" s="16"/>
      <c r="AIB17" s="16"/>
      <c r="AIC17" s="16"/>
      <c r="AID17" s="16"/>
      <c r="AIE17" s="16"/>
      <c r="AIF17" s="16"/>
      <c r="AIG17" s="16"/>
      <c r="AIH17" s="16"/>
      <c r="AII17" s="16"/>
      <c r="AIJ17" s="16"/>
      <c r="AIK17" s="16"/>
      <c r="AIL17" s="16"/>
      <c r="AIM17" s="16"/>
      <c r="AIN17" s="16"/>
      <c r="AIO17" s="16"/>
      <c r="AIP17" s="16"/>
      <c r="AIQ17" s="16"/>
      <c r="AIR17" s="16"/>
      <c r="AIS17" s="16"/>
      <c r="AIT17" s="16"/>
      <c r="AIU17" s="16"/>
      <c r="AIV17" s="16"/>
      <c r="AIW17" s="16"/>
      <c r="AIX17" s="16"/>
      <c r="AIY17" s="16"/>
      <c r="AIZ17" s="16"/>
      <c r="AJA17" s="16"/>
      <c r="AJB17" s="16"/>
      <c r="AJC17" s="16"/>
      <c r="AJD17" s="16"/>
      <c r="AJE17" s="16"/>
      <c r="AJF17" s="16"/>
      <c r="AJG17" s="16"/>
      <c r="AJH17" s="16"/>
      <c r="AJI17" s="16"/>
      <c r="AJJ17" s="16"/>
      <c r="AJK17" s="16"/>
      <c r="AJL17" s="16"/>
      <c r="AJM17" s="16"/>
      <c r="AJN17" s="16"/>
      <c r="AJO17" s="16"/>
      <c r="AJP17" s="16"/>
      <c r="AJQ17" s="16"/>
      <c r="AJR17" s="16"/>
      <c r="AJS17" s="16"/>
      <c r="AJT17" s="16"/>
      <c r="AJU17" s="16"/>
      <c r="AJV17" s="16"/>
      <c r="AJW17" s="16"/>
      <c r="AJX17" s="16"/>
      <c r="AJY17" s="16"/>
      <c r="AJZ17" s="16"/>
      <c r="AKA17" s="16"/>
      <c r="AKB17" s="16"/>
      <c r="AKC17" s="16"/>
      <c r="AKD17" s="16"/>
      <c r="AKE17" s="16"/>
      <c r="AKF17" s="16"/>
      <c r="AKG17" s="16"/>
      <c r="AKH17" s="16"/>
      <c r="AKI17" s="16"/>
      <c r="AKJ17" s="16"/>
      <c r="AKK17" s="16"/>
      <c r="AKL17" s="16"/>
      <c r="AKM17" s="16"/>
      <c r="AKN17" s="16"/>
      <c r="AKO17" s="16"/>
      <c r="AKP17" s="16"/>
      <c r="AKQ17" s="16"/>
      <c r="AKR17" s="16"/>
      <c r="AKS17" s="16"/>
      <c r="AKT17" s="16"/>
      <c r="AKU17" s="16"/>
      <c r="AKV17" s="16"/>
      <c r="AKW17" s="16"/>
      <c r="AKX17" s="16"/>
      <c r="AKY17" s="16"/>
      <c r="AKZ17" s="16"/>
      <c r="ALA17" s="16"/>
      <c r="ALB17" s="16"/>
      <c r="ALC17" s="16"/>
      <c r="ALD17" s="16"/>
      <c r="ALE17" s="16"/>
      <c r="ALF17" s="16"/>
      <c r="ALG17" s="16"/>
      <c r="ALH17" s="16"/>
      <c r="ALI17" s="16"/>
      <c r="ALJ17" s="16"/>
      <c r="ALK17" s="16"/>
      <c r="ALL17" s="16"/>
      <c r="ALM17" s="16"/>
      <c r="ALN17" s="16"/>
      <c r="ALO17" s="16"/>
      <c r="ALP17" s="16"/>
      <c r="ALQ17" s="16"/>
      <c r="ALR17" s="16"/>
      <c r="ALS17" s="16"/>
      <c r="ALT17" s="16"/>
      <c r="ALU17" s="16"/>
      <c r="ALV17" s="16"/>
      <c r="ALW17" s="16"/>
      <c r="ALX17" s="16"/>
      <c r="ALY17" s="16"/>
      <c r="ALZ17" s="16"/>
      <c r="AMA17" s="16"/>
      <c r="AMB17" s="16"/>
      <c r="AMC17" s="16"/>
      <c r="AMD17" s="16"/>
    </row>
    <row r="18" customFormat="false" ht="15" hidden="false" customHeight="true" outlineLevel="0" collapsed="false">
      <c r="A18" s="16"/>
      <c r="B18" s="125" t="str">
        <f aca="false">'Base Chapecó'!B20</f>
        <v>GEX CHAPECÓ</v>
      </c>
      <c r="C18" s="276" t="n">
        <f aca="false">VLOOKUP(B18,Unidades!$D$5:$G$28,4,)</f>
        <v>0.02</v>
      </c>
      <c r="D18" s="277" t="n">
        <f aca="false">'Base Chapecó'!AD20*12+'Base Chapecó'!AE20*4+'Base Chapecó'!AF20*2+'Base Chapecó'!AG20</f>
        <v>12818.0418016456</v>
      </c>
      <c r="E18" s="277" t="n">
        <f aca="false">'Base Chapecó'!AK20*12+'Base Chapecó'!AL20*4+'Base Chapecó'!AM20*2+'Base Chapecó'!AN20</f>
        <v>15667.4924941514</v>
      </c>
      <c r="IO18" s="16"/>
      <c r="IP18" s="16"/>
      <c r="IQ18" s="16"/>
      <c r="IR18" s="16"/>
      <c r="IS18" s="16"/>
      <c r="IT18" s="16"/>
      <c r="IU18" s="16"/>
      <c r="IV18" s="16"/>
      <c r="IW18" s="16"/>
      <c r="IX18" s="16"/>
      <c r="IY18" s="16"/>
      <c r="IZ18" s="16"/>
      <c r="JA18" s="16"/>
      <c r="JB18" s="16"/>
      <c r="JC18" s="16"/>
      <c r="JD18" s="16"/>
      <c r="JE18" s="16"/>
      <c r="JF18" s="16"/>
      <c r="JG18" s="16"/>
      <c r="JH18" s="16"/>
      <c r="JI18" s="16"/>
      <c r="JJ18" s="16"/>
      <c r="JK18" s="16"/>
      <c r="JL18" s="16"/>
      <c r="JM18" s="16"/>
      <c r="JN18" s="16"/>
      <c r="JO18" s="16"/>
      <c r="JP18" s="16"/>
      <c r="JQ18" s="16"/>
      <c r="JR18" s="16"/>
      <c r="JS18" s="16"/>
      <c r="JT18" s="16"/>
      <c r="JU18" s="16"/>
      <c r="JV18" s="16"/>
      <c r="JW18" s="16"/>
      <c r="JX18" s="16"/>
      <c r="JY18" s="16"/>
      <c r="JZ18" s="16"/>
      <c r="KA18" s="16"/>
      <c r="KB18" s="16"/>
      <c r="KC18" s="16"/>
      <c r="KD18" s="16"/>
      <c r="KE18" s="16"/>
      <c r="KF18" s="16"/>
      <c r="KG18" s="16"/>
      <c r="KH18" s="16"/>
      <c r="KI18" s="16"/>
      <c r="KJ18" s="16"/>
      <c r="KK18" s="16"/>
      <c r="KL18" s="16"/>
      <c r="KM18" s="16"/>
      <c r="KN18" s="16"/>
      <c r="KO18" s="16"/>
      <c r="KP18" s="16"/>
      <c r="KQ18" s="16"/>
      <c r="KR18" s="16"/>
      <c r="KS18" s="16"/>
      <c r="KT18" s="16"/>
      <c r="KU18" s="16"/>
      <c r="KV18" s="16"/>
      <c r="KW18" s="16"/>
      <c r="KX18" s="16"/>
      <c r="KY18" s="16"/>
      <c r="KZ18" s="16"/>
      <c r="LA18" s="16"/>
      <c r="LB18" s="16"/>
      <c r="LC18" s="16"/>
      <c r="LD18" s="16"/>
      <c r="LE18" s="16"/>
      <c r="LF18" s="16"/>
      <c r="LG18" s="16"/>
      <c r="LH18" s="16"/>
      <c r="LI18" s="16"/>
      <c r="LJ18" s="16"/>
      <c r="LK18" s="16"/>
      <c r="LL18" s="16"/>
      <c r="LM18" s="16"/>
      <c r="LN18" s="16"/>
      <c r="LO18" s="16"/>
      <c r="LP18" s="16"/>
      <c r="LQ18" s="16"/>
      <c r="LR18" s="16"/>
      <c r="LS18" s="16"/>
      <c r="LT18" s="16"/>
      <c r="LU18" s="16"/>
      <c r="LV18" s="16"/>
      <c r="LW18" s="16"/>
      <c r="LX18" s="16"/>
      <c r="LY18" s="16"/>
      <c r="LZ18" s="16"/>
      <c r="MA18" s="16"/>
      <c r="MB18" s="16"/>
      <c r="MC18" s="16"/>
      <c r="MD18" s="16"/>
      <c r="ME18" s="16"/>
      <c r="MF18" s="16"/>
      <c r="MG18" s="16"/>
      <c r="MH18" s="16"/>
      <c r="MI18" s="16"/>
      <c r="MJ18" s="16"/>
      <c r="MK18" s="16"/>
      <c r="ML18" s="16"/>
      <c r="MM18" s="16"/>
      <c r="MN18" s="16"/>
      <c r="MO18" s="16"/>
      <c r="MP18" s="16"/>
      <c r="MQ18" s="16"/>
      <c r="MR18" s="16"/>
      <c r="MS18" s="16"/>
      <c r="MT18" s="16"/>
      <c r="MU18" s="16"/>
      <c r="MV18" s="16"/>
      <c r="MW18" s="16"/>
      <c r="MX18" s="16"/>
      <c r="MY18" s="16"/>
      <c r="MZ18" s="16"/>
      <c r="NA18" s="16"/>
      <c r="NB18" s="16"/>
      <c r="NC18" s="16"/>
      <c r="ND18" s="16"/>
      <c r="NE18" s="16"/>
      <c r="NF18" s="16"/>
      <c r="NG18" s="16"/>
      <c r="NH18" s="16"/>
      <c r="NI18" s="16"/>
      <c r="NJ18" s="16"/>
      <c r="NK18" s="16"/>
      <c r="NL18" s="16"/>
      <c r="NM18" s="16"/>
      <c r="NN18" s="16"/>
      <c r="NO18" s="16"/>
      <c r="NP18" s="16"/>
      <c r="NQ18" s="16"/>
      <c r="NR18" s="16"/>
      <c r="NS18" s="16"/>
      <c r="NT18" s="16"/>
      <c r="NU18" s="16"/>
      <c r="NV18" s="16"/>
      <c r="NW18" s="16"/>
      <c r="NX18" s="16"/>
      <c r="NY18" s="16"/>
      <c r="NZ18" s="16"/>
      <c r="OA18" s="16"/>
      <c r="OB18" s="16"/>
      <c r="OC18" s="16"/>
      <c r="OD18" s="16"/>
      <c r="OE18" s="16"/>
      <c r="OF18" s="16"/>
      <c r="OG18" s="16"/>
      <c r="OH18" s="16"/>
      <c r="OI18" s="16"/>
      <c r="OJ18" s="16"/>
      <c r="OK18" s="16"/>
      <c r="OL18" s="16"/>
      <c r="OM18" s="16"/>
      <c r="ON18" s="16"/>
      <c r="OO18" s="16"/>
      <c r="OP18" s="16"/>
      <c r="OQ18" s="16"/>
      <c r="OR18" s="16"/>
      <c r="OS18" s="16"/>
      <c r="OT18" s="16"/>
      <c r="OU18" s="16"/>
      <c r="OV18" s="16"/>
      <c r="OW18" s="16"/>
      <c r="OX18" s="16"/>
      <c r="OY18" s="16"/>
      <c r="OZ18" s="16"/>
      <c r="PA18" s="16"/>
      <c r="PB18" s="16"/>
      <c r="PC18" s="16"/>
      <c r="PD18" s="16"/>
      <c r="PE18" s="16"/>
      <c r="PF18" s="16"/>
      <c r="PG18" s="16"/>
      <c r="PH18" s="16"/>
      <c r="PI18" s="16"/>
      <c r="PJ18" s="16"/>
      <c r="PK18" s="16"/>
      <c r="PL18" s="16"/>
      <c r="PM18" s="16"/>
      <c r="PN18" s="16"/>
      <c r="PO18" s="16"/>
      <c r="PP18" s="16"/>
      <c r="PQ18" s="16"/>
      <c r="PR18" s="16"/>
      <c r="PS18" s="16"/>
      <c r="PT18" s="16"/>
      <c r="PU18" s="16"/>
      <c r="PV18" s="16"/>
      <c r="PW18" s="16"/>
      <c r="PX18" s="16"/>
      <c r="PY18" s="16"/>
      <c r="PZ18" s="16"/>
      <c r="QA18" s="16"/>
      <c r="QB18" s="16"/>
      <c r="QC18" s="16"/>
      <c r="QD18" s="16"/>
      <c r="QE18" s="16"/>
      <c r="QF18" s="16"/>
      <c r="QG18" s="16"/>
      <c r="QH18" s="16"/>
      <c r="QI18" s="16"/>
      <c r="QJ18" s="16"/>
      <c r="QK18" s="16"/>
      <c r="QL18" s="16"/>
      <c r="QM18" s="16"/>
      <c r="QN18" s="16"/>
      <c r="QO18" s="16"/>
      <c r="QP18" s="16"/>
      <c r="QQ18" s="16"/>
      <c r="QR18" s="16"/>
      <c r="QS18" s="16"/>
      <c r="QT18" s="16"/>
      <c r="QU18" s="16"/>
      <c r="QV18" s="16"/>
      <c r="QW18" s="16"/>
      <c r="QX18" s="16"/>
      <c r="QY18" s="16"/>
      <c r="QZ18" s="16"/>
      <c r="RA18" s="16"/>
      <c r="RB18" s="16"/>
      <c r="RC18" s="16"/>
      <c r="RD18" s="16"/>
      <c r="RE18" s="16"/>
      <c r="RF18" s="16"/>
      <c r="RG18" s="16"/>
      <c r="RH18" s="16"/>
      <c r="RI18" s="16"/>
      <c r="RJ18" s="16"/>
      <c r="RK18" s="16"/>
      <c r="RL18" s="16"/>
      <c r="RM18" s="16"/>
      <c r="RN18" s="16"/>
      <c r="RO18" s="16"/>
      <c r="RP18" s="16"/>
      <c r="RQ18" s="16"/>
      <c r="RR18" s="16"/>
      <c r="RS18" s="16"/>
      <c r="RT18" s="16"/>
      <c r="RU18" s="16"/>
      <c r="RV18" s="16"/>
      <c r="RW18" s="16"/>
      <c r="RX18" s="16"/>
      <c r="RY18" s="16"/>
      <c r="RZ18" s="16"/>
      <c r="SA18" s="16"/>
      <c r="SB18" s="16"/>
      <c r="SC18" s="16"/>
      <c r="SD18" s="16"/>
      <c r="SE18" s="16"/>
      <c r="SF18" s="16"/>
      <c r="SG18" s="16"/>
      <c r="SH18" s="16"/>
      <c r="SI18" s="16"/>
      <c r="SJ18" s="16"/>
      <c r="SK18" s="16"/>
      <c r="SL18" s="16"/>
      <c r="SM18" s="16"/>
      <c r="SN18" s="16"/>
      <c r="SO18" s="16"/>
      <c r="SP18" s="16"/>
      <c r="SQ18" s="16"/>
      <c r="SR18" s="16"/>
      <c r="SS18" s="16"/>
      <c r="ST18" s="16"/>
      <c r="SU18" s="16"/>
      <c r="SV18" s="16"/>
      <c r="SW18" s="16"/>
      <c r="SX18" s="16"/>
      <c r="SY18" s="16"/>
      <c r="SZ18" s="16"/>
      <c r="TA18" s="16"/>
      <c r="TB18" s="16"/>
      <c r="TC18" s="16"/>
      <c r="TD18" s="16"/>
      <c r="TE18" s="16"/>
      <c r="TF18" s="16"/>
      <c r="TG18" s="16"/>
      <c r="TH18" s="16"/>
      <c r="TI18" s="16"/>
      <c r="TJ18" s="16"/>
      <c r="TK18" s="16"/>
      <c r="TL18" s="16"/>
      <c r="TM18" s="16"/>
      <c r="TN18" s="16"/>
      <c r="TO18" s="16"/>
      <c r="TP18" s="16"/>
      <c r="TQ18" s="16"/>
      <c r="TR18" s="16"/>
      <c r="TS18" s="16"/>
      <c r="TT18" s="16"/>
      <c r="TU18" s="16"/>
      <c r="TV18" s="16"/>
      <c r="TW18" s="16"/>
      <c r="TX18" s="16"/>
      <c r="TY18" s="16"/>
      <c r="TZ18" s="16"/>
      <c r="UA18" s="16"/>
      <c r="UB18" s="16"/>
      <c r="UC18" s="16"/>
      <c r="UD18" s="16"/>
      <c r="UE18" s="16"/>
      <c r="UF18" s="16"/>
      <c r="UG18" s="16"/>
      <c r="UH18" s="16"/>
      <c r="UI18" s="16"/>
      <c r="UJ18" s="16"/>
      <c r="UK18" s="16"/>
      <c r="UL18" s="16"/>
      <c r="UM18" s="16"/>
      <c r="UN18" s="16"/>
      <c r="UO18" s="16"/>
      <c r="UP18" s="16"/>
      <c r="UQ18" s="16"/>
      <c r="UR18" s="16"/>
      <c r="US18" s="16"/>
      <c r="UT18" s="16"/>
      <c r="UU18" s="16"/>
      <c r="UV18" s="16"/>
      <c r="UW18" s="16"/>
      <c r="UX18" s="16"/>
      <c r="UY18" s="16"/>
      <c r="UZ18" s="16"/>
      <c r="VA18" s="16"/>
      <c r="VB18" s="16"/>
      <c r="VC18" s="16"/>
      <c r="VD18" s="16"/>
      <c r="VE18" s="16"/>
      <c r="VF18" s="16"/>
      <c r="VG18" s="16"/>
      <c r="VH18" s="16"/>
      <c r="VI18" s="16"/>
      <c r="VJ18" s="16"/>
      <c r="VK18" s="16"/>
      <c r="VL18" s="16"/>
      <c r="VM18" s="16"/>
      <c r="VN18" s="16"/>
      <c r="VO18" s="16"/>
      <c r="VP18" s="16"/>
      <c r="VQ18" s="16"/>
      <c r="VR18" s="16"/>
      <c r="VS18" s="16"/>
      <c r="VT18" s="16"/>
      <c r="VU18" s="16"/>
      <c r="VV18" s="16"/>
      <c r="VW18" s="16"/>
      <c r="VX18" s="16"/>
      <c r="VY18" s="16"/>
      <c r="VZ18" s="16"/>
      <c r="WA18" s="16"/>
      <c r="WB18" s="16"/>
      <c r="WC18" s="16"/>
      <c r="WD18" s="16"/>
      <c r="WE18" s="16"/>
      <c r="WF18" s="16"/>
      <c r="WG18" s="16"/>
      <c r="WH18" s="16"/>
      <c r="WI18" s="16"/>
      <c r="WJ18" s="16"/>
      <c r="WK18" s="16"/>
      <c r="WL18" s="16"/>
      <c r="WM18" s="16"/>
      <c r="WN18" s="16"/>
      <c r="WO18" s="16"/>
      <c r="WP18" s="16"/>
      <c r="WQ18" s="16"/>
      <c r="WR18" s="16"/>
      <c r="WS18" s="16"/>
      <c r="WT18" s="16"/>
      <c r="WU18" s="16"/>
      <c r="WV18" s="16"/>
      <c r="WW18" s="16"/>
      <c r="WX18" s="16"/>
      <c r="WY18" s="16"/>
      <c r="WZ18" s="16"/>
      <c r="XA18" s="16"/>
      <c r="XB18" s="16"/>
      <c r="XC18" s="16"/>
      <c r="XD18" s="16"/>
      <c r="XE18" s="16"/>
      <c r="XF18" s="16"/>
      <c r="XG18" s="16"/>
      <c r="XH18" s="16"/>
      <c r="XI18" s="16"/>
      <c r="XJ18" s="16"/>
      <c r="XK18" s="16"/>
      <c r="XL18" s="16"/>
      <c r="XM18" s="16"/>
      <c r="XN18" s="16"/>
      <c r="XO18" s="16"/>
      <c r="XP18" s="16"/>
      <c r="XQ18" s="16"/>
      <c r="XR18" s="16"/>
      <c r="XS18" s="16"/>
      <c r="XT18" s="16"/>
      <c r="XU18" s="16"/>
      <c r="XV18" s="16"/>
      <c r="XW18" s="16"/>
      <c r="XX18" s="16"/>
      <c r="XY18" s="16"/>
      <c r="XZ18" s="16"/>
      <c r="YA18" s="16"/>
      <c r="YB18" s="16"/>
      <c r="YC18" s="16"/>
      <c r="YD18" s="16"/>
      <c r="YE18" s="16"/>
      <c r="YF18" s="16"/>
      <c r="YG18" s="16"/>
      <c r="YH18" s="16"/>
      <c r="YI18" s="16"/>
      <c r="YJ18" s="16"/>
      <c r="YK18" s="16"/>
      <c r="YL18" s="16"/>
      <c r="YM18" s="16"/>
      <c r="YN18" s="16"/>
      <c r="YO18" s="16"/>
      <c r="YP18" s="16"/>
      <c r="YQ18" s="16"/>
      <c r="YR18" s="16"/>
      <c r="YS18" s="16"/>
      <c r="YT18" s="16"/>
      <c r="YU18" s="16"/>
      <c r="YV18" s="16"/>
      <c r="YW18" s="16"/>
      <c r="YX18" s="16"/>
      <c r="YY18" s="16"/>
      <c r="YZ18" s="16"/>
      <c r="ZA18" s="16"/>
      <c r="ZB18" s="16"/>
      <c r="ZC18" s="16"/>
      <c r="ZD18" s="16"/>
      <c r="ZE18" s="16"/>
      <c r="ZF18" s="16"/>
      <c r="ZG18" s="16"/>
      <c r="ZH18" s="16"/>
      <c r="ZI18" s="16"/>
      <c r="ZJ18" s="16"/>
      <c r="ZK18" s="16"/>
      <c r="ZL18" s="16"/>
      <c r="ZM18" s="16"/>
      <c r="ZN18" s="16"/>
      <c r="ZO18" s="16"/>
      <c r="ZP18" s="16"/>
      <c r="ZQ18" s="16"/>
      <c r="ZR18" s="16"/>
      <c r="ZS18" s="16"/>
      <c r="ZT18" s="16"/>
      <c r="ZU18" s="16"/>
      <c r="ZV18" s="16"/>
      <c r="ZW18" s="16"/>
      <c r="ZX18" s="16"/>
      <c r="ZY18" s="16"/>
      <c r="ZZ18" s="16"/>
      <c r="AAA18" s="16"/>
      <c r="AAB18" s="16"/>
      <c r="AAC18" s="16"/>
      <c r="AAD18" s="16"/>
      <c r="AAE18" s="16"/>
      <c r="AAF18" s="16"/>
      <c r="AAG18" s="16"/>
      <c r="AAH18" s="16"/>
      <c r="AAI18" s="16"/>
      <c r="AAJ18" s="16"/>
      <c r="AAK18" s="16"/>
      <c r="AAL18" s="16"/>
      <c r="AAM18" s="16"/>
      <c r="AAN18" s="16"/>
      <c r="AAO18" s="16"/>
      <c r="AAP18" s="16"/>
      <c r="AAQ18" s="16"/>
      <c r="AAR18" s="16"/>
      <c r="AAS18" s="16"/>
      <c r="AAT18" s="16"/>
      <c r="AAU18" s="16"/>
      <c r="AAV18" s="16"/>
      <c r="AAW18" s="16"/>
      <c r="AAX18" s="16"/>
      <c r="AAY18" s="16"/>
      <c r="AAZ18" s="16"/>
      <c r="ABA18" s="16"/>
      <c r="ABB18" s="16"/>
      <c r="ABC18" s="16"/>
      <c r="ABD18" s="16"/>
      <c r="ABE18" s="16"/>
      <c r="ABF18" s="16"/>
      <c r="ABG18" s="16"/>
      <c r="ABH18" s="16"/>
      <c r="ABI18" s="16"/>
      <c r="ABJ18" s="16"/>
      <c r="ABK18" s="16"/>
      <c r="ABL18" s="16"/>
      <c r="ABM18" s="16"/>
      <c r="ABN18" s="16"/>
      <c r="ABO18" s="16"/>
      <c r="ABP18" s="16"/>
      <c r="ABQ18" s="16"/>
      <c r="ABR18" s="16"/>
      <c r="ABS18" s="16"/>
      <c r="ABT18" s="16"/>
      <c r="ABU18" s="16"/>
      <c r="ABV18" s="16"/>
      <c r="ABW18" s="16"/>
      <c r="ABX18" s="16"/>
      <c r="ABY18" s="16"/>
      <c r="ABZ18" s="16"/>
      <c r="ACA18" s="16"/>
      <c r="ACB18" s="16"/>
      <c r="ACC18" s="16"/>
      <c r="ACD18" s="16"/>
      <c r="ACE18" s="16"/>
      <c r="ACF18" s="16"/>
      <c r="ACG18" s="16"/>
      <c r="ACH18" s="16"/>
      <c r="ACI18" s="16"/>
      <c r="ACJ18" s="16"/>
      <c r="ACK18" s="16"/>
      <c r="ACL18" s="16"/>
      <c r="ACM18" s="16"/>
      <c r="ACN18" s="16"/>
      <c r="ACO18" s="16"/>
      <c r="ACP18" s="16"/>
      <c r="ACQ18" s="16"/>
      <c r="ACR18" s="16"/>
      <c r="ACS18" s="16"/>
      <c r="ACT18" s="16"/>
      <c r="ACU18" s="16"/>
      <c r="ACV18" s="16"/>
      <c r="ACW18" s="16"/>
      <c r="ACX18" s="16"/>
      <c r="ACY18" s="16"/>
      <c r="ACZ18" s="16"/>
      <c r="ADA18" s="16"/>
      <c r="ADB18" s="16"/>
      <c r="ADC18" s="16"/>
      <c r="ADD18" s="16"/>
      <c r="ADE18" s="16"/>
      <c r="ADF18" s="16"/>
      <c r="ADG18" s="16"/>
      <c r="ADH18" s="16"/>
      <c r="ADI18" s="16"/>
      <c r="ADJ18" s="16"/>
      <c r="ADK18" s="16"/>
      <c r="ADL18" s="16"/>
      <c r="ADM18" s="16"/>
      <c r="ADN18" s="16"/>
      <c r="ADO18" s="16"/>
      <c r="ADP18" s="16"/>
      <c r="ADQ18" s="16"/>
      <c r="ADR18" s="16"/>
      <c r="ADS18" s="16"/>
      <c r="ADT18" s="16"/>
      <c r="ADU18" s="16"/>
      <c r="ADV18" s="16"/>
      <c r="ADW18" s="16"/>
      <c r="ADX18" s="16"/>
      <c r="ADY18" s="16"/>
      <c r="ADZ18" s="16"/>
      <c r="AEA18" s="16"/>
      <c r="AEB18" s="16"/>
      <c r="AEC18" s="16"/>
      <c r="AED18" s="16"/>
      <c r="AEE18" s="16"/>
      <c r="AEF18" s="16"/>
      <c r="AEG18" s="16"/>
      <c r="AEH18" s="16"/>
      <c r="AEI18" s="16"/>
      <c r="AEJ18" s="16"/>
      <c r="AEK18" s="16"/>
      <c r="AEL18" s="16"/>
      <c r="AEM18" s="16"/>
      <c r="AEN18" s="16"/>
      <c r="AEO18" s="16"/>
      <c r="AEP18" s="16"/>
      <c r="AEQ18" s="16"/>
      <c r="AER18" s="16"/>
      <c r="AES18" s="16"/>
      <c r="AET18" s="16"/>
      <c r="AEU18" s="16"/>
      <c r="AEV18" s="16"/>
      <c r="AEW18" s="16"/>
      <c r="AEX18" s="16"/>
      <c r="AEY18" s="16"/>
      <c r="AEZ18" s="16"/>
      <c r="AFA18" s="16"/>
      <c r="AFB18" s="16"/>
      <c r="AFC18" s="16"/>
      <c r="AFD18" s="16"/>
      <c r="AFE18" s="16"/>
      <c r="AFF18" s="16"/>
      <c r="AFG18" s="16"/>
      <c r="AFH18" s="16"/>
      <c r="AFI18" s="16"/>
      <c r="AFJ18" s="16"/>
      <c r="AFK18" s="16"/>
      <c r="AFL18" s="16"/>
      <c r="AFM18" s="16"/>
      <c r="AFN18" s="16"/>
      <c r="AFO18" s="16"/>
      <c r="AFP18" s="16"/>
      <c r="AFQ18" s="16"/>
      <c r="AFR18" s="16"/>
      <c r="AFS18" s="16"/>
      <c r="AFT18" s="16"/>
      <c r="AFU18" s="16"/>
      <c r="AFV18" s="16"/>
      <c r="AFW18" s="16"/>
      <c r="AFX18" s="16"/>
      <c r="AFY18" s="16"/>
      <c r="AFZ18" s="16"/>
      <c r="AGA18" s="16"/>
      <c r="AGB18" s="16"/>
      <c r="AGC18" s="16"/>
      <c r="AGD18" s="16"/>
      <c r="AGE18" s="16"/>
      <c r="AGF18" s="16"/>
      <c r="AGG18" s="16"/>
      <c r="AGH18" s="16"/>
      <c r="AGI18" s="16"/>
      <c r="AGJ18" s="16"/>
      <c r="AGK18" s="16"/>
      <c r="AGL18" s="16"/>
      <c r="AGM18" s="16"/>
      <c r="AGN18" s="16"/>
      <c r="AGO18" s="16"/>
      <c r="AGP18" s="16"/>
      <c r="AGQ18" s="16"/>
      <c r="AGR18" s="16"/>
      <c r="AGS18" s="16"/>
      <c r="AGT18" s="16"/>
      <c r="AGU18" s="16"/>
      <c r="AGV18" s="16"/>
      <c r="AGW18" s="16"/>
      <c r="AGX18" s="16"/>
      <c r="AGY18" s="16"/>
      <c r="AGZ18" s="16"/>
      <c r="AHA18" s="16"/>
      <c r="AHB18" s="16"/>
      <c r="AHC18" s="16"/>
      <c r="AHD18" s="16"/>
      <c r="AHE18" s="16"/>
      <c r="AHF18" s="16"/>
      <c r="AHG18" s="16"/>
      <c r="AHH18" s="16"/>
      <c r="AHI18" s="16"/>
      <c r="AHJ18" s="16"/>
      <c r="AHK18" s="16"/>
      <c r="AHL18" s="16"/>
      <c r="AHM18" s="16"/>
      <c r="AHN18" s="16"/>
      <c r="AHO18" s="16"/>
      <c r="AHP18" s="16"/>
      <c r="AHQ18" s="16"/>
      <c r="AHR18" s="16"/>
      <c r="AHS18" s="16"/>
      <c r="AHT18" s="16"/>
      <c r="AHU18" s="16"/>
      <c r="AHV18" s="16"/>
      <c r="AHW18" s="16"/>
      <c r="AHX18" s="16"/>
      <c r="AHY18" s="16"/>
      <c r="AHZ18" s="16"/>
      <c r="AIA18" s="16"/>
      <c r="AIB18" s="16"/>
      <c r="AIC18" s="16"/>
      <c r="AID18" s="16"/>
      <c r="AIE18" s="16"/>
      <c r="AIF18" s="16"/>
      <c r="AIG18" s="16"/>
      <c r="AIH18" s="16"/>
      <c r="AII18" s="16"/>
      <c r="AIJ18" s="16"/>
      <c r="AIK18" s="16"/>
      <c r="AIL18" s="16"/>
      <c r="AIM18" s="16"/>
      <c r="AIN18" s="16"/>
      <c r="AIO18" s="16"/>
      <c r="AIP18" s="16"/>
      <c r="AIQ18" s="16"/>
      <c r="AIR18" s="16"/>
      <c r="AIS18" s="16"/>
      <c r="AIT18" s="16"/>
      <c r="AIU18" s="16"/>
      <c r="AIV18" s="16"/>
      <c r="AIW18" s="16"/>
      <c r="AIX18" s="16"/>
      <c r="AIY18" s="16"/>
      <c r="AIZ18" s="16"/>
      <c r="AJA18" s="16"/>
      <c r="AJB18" s="16"/>
      <c r="AJC18" s="16"/>
      <c r="AJD18" s="16"/>
      <c r="AJE18" s="16"/>
      <c r="AJF18" s="16"/>
      <c r="AJG18" s="16"/>
      <c r="AJH18" s="16"/>
      <c r="AJI18" s="16"/>
      <c r="AJJ18" s="16"/>
      <c r="AJK18" s="16"/>
      <c r="AJL18" s="16"/>
      <c r="AJM18" s="16"/>
      <c r="AJN18" s="16"/>
      <c r="AJO18" s="16"/>
      <c r="AJP18" s="16"/>
      <c r="AJQ18" s="16"/>
      <c r="AJR18" s="16"/>
      <c r="AJS18" s="16"/>
      <c r="AJT18" s="16"/>
      <c r="AJU18" s="16"/>
      <c r="AJV18" s="16"/>
      <c r="AJW18" s="16"/>
      <c r="AJX18" s="16"/>
      <c r="AJY18" s="16"/>
      <c r="AJZ18" s="16"/>
      <c r="AKA18" s="16"/>
      <c r="AKB18" s="16"/>
      <c r="AKC18" s="16"/>
      <c r="AKD18" s="16"/>
      <c r="AKE18" s="16"/>
      <c r="AKF18" s="16"/>
      <c r="AKG18" s="16"/>
      <c r="AKH18" s="16"/>
      <c r="AKI18" s="16"/>
      <c r="AKJ18" s="16"/>
      <c r="AKK18" s="16"/>
      <c r="AKL18" s="16"/>
      <c r="AKM18" s="16"/>
      <c r="AKN18" s="16"/>
      <c r="AKO18" s="16"/>
      <c r="AKP18" s="16"/>
      <c r="AKQ18" s="16"/>
      <c r="AKR18" s="16"/>
      <c r="AKS18" s="16"/>
      <c r="AKT18" s="16"/>
      <c r="AKU18" s="16"/>
      <c r="AKV18" s="16"/>
      <c r="AKW18" s="16"/>
      <c r="AKX18" s="16"/>
      <c r="AKY18" s="16"/>
      <c r="AKZ18" s="16"/>
      <c r="ALA18" s="16"/>
      <c r="ALB18" s="16"/>
      <c r="ALC18" s="16"/>
      <c r="ALD18" s="16"/>
      <c r="ALE18" s="16"/>
      <c r="ALF18" s="16"/>
      <c r="ALG18" s="16"/>
      <c r="ALH18" s="16"/>
      <c r="ALI18" s="16"/>
      <c r="ALJ18" s="16"/>
      <c r="ALK18" s="16"/>
      <c r="ALL18" s="16"/>
      <c r="ALM18" s="16"/>
      <c r="ALN18" s="16"/>
      <c r="ALO18" s="16"/>
      <c r="ALP18" s="16"/>
      <c r="ALQ18" s="16"/>
      <c r="ALR18" s="16"/>
      <c r="ALS18" s="16"/>
      <c r="ALT18" s="16"/>
      <c r="ALU18" s="16"/>
      <c r="ALV18" s="16"/>
      <c r="ALW18" s="16"/>
      <c r="ALX18" s="16"/>
      <c r="ALY18" s="16"/>
      <c r="ALZ18" s="16"/>
      <c r="AMA18" s="16"/>
      <c r="AMB18" s="16"/>
      <c r="AMC18" s="16"/>
      <c r="AMD18" s="16"/>
    </row>
    <row r="19" customFormat="false" ht="15" hidden="false" customHeight="true" outlineLevel="0" collapsed="false">
      <c r="A19" s="29"/>
      <c r="B19" s="125" t="str">
        <f aca="false">'Base Pato Branco'!B7</f>
        <v>APS CORONEL VIVIDA</v>
      </c>
      <c r="C19" s="276" t="n">
        <f aca="false">VLOOKUP(B19,Unidades!$D$5:$G$28,4,)</f>
        <v>0.05</v>
      </c>
      <c r="D19" s="277" t="n">
        <f aca="false">'Base Pato Branco'!AD7*12+'Base Pato Branco'!AE7*4+'Base Pato Branco'!AF7*2+'Base Pato Branco'!AG7</f>
        <v>9269.41624839869</v>
      </c>
      <c r="E19" s="277" t="n">
        <f aca="false">'Base Pato Branco'!AK7*12+'Base Pato Branco'!AL7*4+'Base Pato Branco'!AM7*2+'Base Pato Branco'!AN7</f>
        <v>11701.7110719785</v>
      </c>
      <c r="F19" s="29"/>
      <c r="N19" s="29"/>
      <c r="O19" s="29"/>
      <c r="P19" s="29"/>
      <c r="Q19" s="29"/>
      <c r="R19" s="2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  <c r="AF19" s="29"/>
      <c r="AG19" s="29"/>
      <c r="AH19" s="29"/>
      <c r="AI19" s="29"/>
      <c r="AJ19" s="29"/>
      <c r="AK19" s="29"/>
      <c r="AL19" s="29"/>
      <c r="AM19" s="29"/>
      <c r="AN19" s="29"/>
      <c r="AO19" s="29"/>
      <c r="AP19" s="29"/>
      <c r="AQ19" s="29"/>
      <c r="AR19" s="29"/>
      <c r="AS19" s="29"/>
      <c r="AT19" s="29"/>
      <c r="AU19" s="29"/>
      <c r="AV19" s="29"/>
      <c r="AW19" s="29"/>
      <c r="AX19" s="29"/>
      <c r="AY19" s="29"/>
      <c r="AZ19" s="29"/>
      <c r="BA19" s="29"/>
      <c r="BB19" s="29"/>
      <c r="BC19" s="29"/>
      <c r="BD19" s="29"/>
      <c r="BE19" s="29"/>
      <c r="BF19" s="29"/>
      <c r="BG19" s="29"/>
      <c r="BH19" s="29"/>
      <c r="BI19" s="29"/>
      <c r="BJ19" s="29"/>
      <c r="BK19" s="29"/>
      <c r="BL19" s="29"/>
      <c r="BM19" s="29"/>
      <c r="BN19" s="29"/>
      <c r="BO19" s="29"/>
      <c r="BP19" s="29"/>
      <c r="BQ19" s="29"/>
      <c r="BR19" s="29"/>
      <c r="BS19" s="29"/>
      <c r="BT19" s="29"/>
      <c r="BU19" s="29"/>
      <c r="BV19" s="29"/>
      <c r="BW19" s="29"/>
      <c r="BX19" s="29"/>
      <c r="BY19" s="29"/>
      <c r="BZ19" s="29"/>
      <c r="CA19" s="29"/>
      <c r="CB19" s="29"/>
      <c r="CC19" s="29"/>
      <c r="CD19" s="29"/>
      <c r="CE19" s="29"/>
      <c r="CF19" s="29"/>
      <c r="CG19" s="29"/>
      <c r="CH19" s="29"/>
      <c r="CI19" s="29"/>
      <c r="CJ19" s="29"/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  <c r="DR19" s="29"/>
      <c r="DS19" s="29"/>
      <c r="DT19" s="29"/>
      <c r="DU19" s="29"/>
      <c r="DV19" s="29"/>
      <c r="DW19" s="29"/>
      <c r="DX19" s="29"/>
      <c r="DY19" s="29"/>
      <c r="DZ19" s="29"/>
      <c r="EA19" s="29"/>
      <c r="EB19" s="29"/>
      <c r="EC19" s="29"/>
      <c r="ED19" s="29"/>
      <c r="EE19" s="29"/>
      <c r="EF19" s="29"/>
      <c r="EG19" s="29"/>
      <c r="EH19" s="29"/>
      <c r="EI19" s="29"/>
      <c r="EJ19" s="29"/>
      <c r="EK19" s="29"/>
      <c r="EL19" s="29"/>
      <c r="EM19" s="29"/>
      <c r="EN19" s="29"/>
      <c r="EO19" s="29"/>
      <c r="EP19" s="29"/>
      <c r="EQ19" s="29"/>
      <c r="ER19" s="29"/>
      <c r="ES19" s="29"/>
      <c r="ET19" s="29"/>
      <c r="EU19" s="29"/>
      <c r="EV19" s="29"/>
      <c r="EW19" s="29"/>
      <c r="EX19" s="29"/>
      <c r="EY19" s="29"/>
      <c r="EZ19" s="29"/>
      <c r="FA19" s="29"/>
      <c r="FB19" s="29"/>
      <c r="FC19" s="29"/>
      <c r="FD19" s="29"/>
      <c r="FE19" s="29"/>
      <c r="FF19" s="29"/>
      <c r="FG19" s="29"/>
      <c r="FH19" s="29"/>
      <c r="FI19" s="29"/>
      <c r="FJ19" s="29"/>
      <c r="FK19" s="29"/>
      <c r="FL19" s="29"/>
      <c r="FM19" s="29"/>
      <c r="FN19" s="29"/>
      <c r="FO19" s="29"/>
      <c r="FP19" s="29"/>
      <c r="FQ19" s="29"/>
      <c r="FR19" s="29"/>
      <c r="FS19" s="29"/>
      <c r="FT19" s="29"/>
      <c r="FU19" s="29"/>
      <c r="FV19" s="29"/>
      <c r="FW19" s="29"/>
      <c r="FX19" s="29"/>
      <c r="FY19" s="29"/>
      <c r="FZ19" s="29"/>
      <c r="GA19" s="29"/>
      <c r="GB19" s="29"/>
      <c r="GC19" s="29"/>
      <c r="GD19" s="29"/>
      <c r="GE19" s="29"/>
      <c r="GF19" s="29"/>
      <c r="GG19" s="29"/>
      <c r="GH19" s="29"/>
      <c r="GI19" s="29"/>
      <c r="GJ19" s="29"/>
      <c r="GK19" s="29"/>
      <c r="GL19" s="29"/>
      <c r="GM19" s="29"/>
      <c r="GN19" s="29"/>
      <c r="GO19" s="29"/>
      <c r="GP19" s="29"/>
      <c r="GQ19" s="29"/>
      <c r="GR19" s="29"/>
      <c r="GS19" s="29"/>
      <c r="GT19" s="29"/>
      <c r="GU19" s="29"/>
      <c r="GV19" s="29"/>
      <c r="GW19" s="29"/>
      <c r="GX19" s="29"/>
      <c r="GY19" s="29"/>
      <c r="GZ19" s="29"/>
      <c r="HA19" s="29"/>
      <c r="HB19" s="29"/>
      <c r="HC19" s="29"/>
      <c r="HD19" s="29"/>
      <c r="HE19" s="29"/>
      <c r="HF19" s="29"/>
      <c r="HG19" s="29"/>
      <c r="HH19" s="29"/>
      <c r="HI19" s="29"/>
      <c r="HJ19" s="29"/>
      <c r="HK19" s="29"/>
      <c r="HL19" s="29"/>
      <c r="HM19" s="29"/>
      <c r="HN19" s="29"/>
      <c r="HO19" s="29"/>
      <c r="HP19" s="29"/>
      <c r="HQ19" s="29"/>
      <c r="HR19" s="29"/>
      <c r="HS19" s="29"/>
      <c r="HT19" s="29"/>
      <c r="HU19" s="29"/>
      <c r="HV19" s="29"/>
      <c r="HW19" s="29"/>
      <c r="HX19" s="29"/>
      <c r="HY19" s="29"/>
      <c r="HZ19" s="29"/>
      <c r="IA19" s="29"/>
      <c r="IB19" s="29"/>
      <c r="IC19" s="29"/>
      <c r="ID19" s="29"/>
      <c r="IE19" s="29"/>
      <c r="IF19" s="29"/>
      <c r="IG19" s="29"/>
      <c r="IH19" s="29"/>
      <c r="II19" s="29"/>
      <c r="IJ19" s="29"/>
      <c r="IK19" s="29"/>
      <c r="IL19" s="29"/>
      <c r="IM19" s="29"/>
      <c r="IN19" s="29"/>
      <c r="IO19" s="29"/>
      <c r="IP19" s="29"/>
      <c r="IQ19" s="29"/>
      <c r="IR19" s="29"/>
      <c r="IS19" s="29"/>
      <c r="IT19" s="29"/>
      <c r="IU19" s="29"/>
      <c r="IV19" s="29"/>
      <c r="IW19" s="29"/>
      <c r="IX19" s="29"/>
      <c r="IY19" s="29"/>
      <c r="IZ19" s="29"/>
      <c r="JA19" s="29"/>
      <c r="JB19" s="29"/>
      <c r="JC19" s="29"/>
      <c r="JD19" s="29"/>
      <c r="JE19" s="29"/>
      <c r="JF19" s="29"/>
      <c r="JG19" s="29"/>
      <c r="JH19" s="29"/>
      <c r="JI19" s="29"/>
      <c r="JJ19" s="29"/>
      <c r="JK19" s="29"/>
      <c r="JL19" s="29"/>
      <c r="JM19" s="29"/>
      <c r="JN19" s="29"/>
      <c r="JO19" s="29"/>
      <c r="JP19" s="29"/>
      <c r="JQ19" s="29"/>
      <c r="JR19" s="29"/>
      <c r="JS19" s="29"/>
      <c r="JT19" s="29"/>
      <c r="JU19" s="29"/>
      <c r="JV19" s="29"/>
      <c r="JW19" s="29"/>
      <c r="JX19" s="29"/>
      <c r="JY19" s="29"/>
      <c r="JZ19" s="29"/>
      <c r="KA19" s="29"/>
      <c r="KB19" s="29"/>
      <c r="KC19" s="29"/>
      <c r="KD19" s="29"/>
      <c r="KE19" s="29"/>
      <c r="KF19" s="29"/>
      <c r="KG19" s="29"/>
      <c r="KH19" s="29"/>
      <c r="KI19" s="29"/>
      <c r="KJ19" s="29"/>
      <c r="KK19" s="29"/>
      <c r="KL19" s="29"/>
      <c r="KM19" s="29"/>
      <c r="KN19" s="29"/>
      <c r="KO19" s="29"/>
      <c r="KP19" s="29"/>
      <c r="KQ19" s="29"/>
      <c r="KR19" s="29"/>
      <c r="KS19" s="29"/>
      <c r="KT19" s="29"/>
      <c r="KU19" s="29"/>
      <c r="KV19" s="29"/>
      <c r="KW19" s="29"/>
      <c r="KX19" s="29"/>
      <c r="KY19" s="29"/>
      <c r="KZ19" s="29"/>
      <c r="LA19" s="29"/>
      <c r="LB19" s="29"/>
      <c r="LC19" s="29"/>
      <c r="LD19" s="29"/>
      <c r="LE19" s="29"/>
      <c r="LF19" s="29"/>
      <c r="LG19" s="29"/>
      <c r="LH19" s="29"/>
      <c r="LI19" s="29"/>
      <c r="LJ19" s="29"/>
      <c r="LK19" s="29"/>
      <c r="LL19" s="29"/>
      <c r="LM19" s="29"/>
      <c r="LN19" s="29"/>
      <c r="LO19" s="29"/>
      <c r="LP19" s="29"/>
      <c r="LQ19" s="29"/>
      <c r="LR19" s="29"/>
      <c r="LS19" s="29"/>
      <c r="LT19" s="29"/>
      <c r="LU19" s="29"/>
      <c r="LV19" s="29"/>
      <c r="LW19" s="29"/>
      <c r="LX19" s="29"/>
      <c r="LY19" s="29"/>
      <c r="LZ19" s="29"/>
      <c r="MA19" s="29"/>
      <c r="MB19" s="29"/>
      <c r="MC19" s="29"/>
      <c r="MD19" s="29"/>
      <c r="ME19" s="29"/>
      <c r="MF19" s="29"/>
      <c r="MG19" s="29"/>
      <c r="MH19" s="29"/>
      <c r="MI19" s="29"/>
      <c r="MJ19" s="29"/>
      <c r="MK19" s="29"/>
      <c r="ML19" s="29"/>
      <c r="MM19" s="29"/>
      <c r="MN19" s="29"/>
      <c r="MO19" s="29"/>
      <c r="MP19" s="29"/>
      <c r="MQ19" s="29"/>
      <c r="MR19" s="29"/>
      <c r="MS19" s="29"/>
      <c r="MT19" s="29"/>
      <c r="MU19" s="29"/>
      <c r="MV19" s="29"/>
      <c r="MW19" s="29"/>
      <c r="MX19" s="29"/>
      <c r="MY19" s="29"/>
      <c r="MZ19" s="29"/>
      <c r="NA19" s="29"/>
      <c r="NB19" s="29"/>
      <c r="NC19" s="29"/>
      <c r="ND19" s="29"/>
      <c r="NE19" s="29"/>
      <c r="NF19" s="29"/>
      <c r="NG19" s="29"/>
      <c r="NH19" s="29"/>
      <c r="NI19" s="29"/>
      <c r="NJ19" s="29"/>
      <c r="NK19" s="29"/>
      <c r="NL19" s="29"/>
      <c r="NM19" s="29"/>
      <c r="NN19" s="29"/>
      <c r="NO19" s="29"/>
      <c r="NP19" s="29"/>
      <c r="NQ19" s="29"/>
      <c r="NR19" s="29"/>
      <c r="NS19" s="29"/>
      <c r="NT19" s="29"/>
      <c r="NU19" s="29"/>
      <c r="NV19" s="29"/>
      <c r="NW19" s="29"/>
      <c r="NX19" s="29"/>
      <c r="NY19" s="29"/>
      <c r="NZ19" s="29"/>
      <c r="OA19" s="29"/>
      <c r="OB19" s="29"/>
      <c r="OC19" s="29"/>
      <c r="OD19" s="29"/>
      <c r="OE19" s="29"/>
      <c r="OF19" s="29"/>
      <c r="OG19" s="29"/>
      <c r="OH19" s="29"/>
      <c r="OI19" s="29"/>
      <c r="OJ19" s="29"/>
      <c r="OK19" s="29"/>
      <c r="OL19" s="29"/>
      <c r="OM19" s="29"/>
      <c r="ON19" s="29"/>
      <c r="OO19" s="29"/>
      <c r="OP19" s="29"/>
      <c r="OQ19" s="29"/>
      <c r="OR19" s="29"/>
      <c r="OS19" s="29"/>
      <c r="OT19" s="29"/>
      <c r="OU19" s="29"/>
      <c r="OV19" s="29"/>
      <c r="OW19" s="29"/>
      <c r="OX19" s="29"/>
      <c r="OY19" s="29"/>
      <c r="OZ19" s="29"/>
      <c r="PA19" s="29"/>
      <c r="PB19" s="29"/>
      <c r="PC19" s="29"/>
      <c r="PD19" s="29"/>
      <c r="PE19" s="29"/>
      <c r="PF19" s="29"/>
      <c r="PG19" s="29"/>
      <c r="PH19" s="29"/>
      <c r="PI19" s="29"/>
      <c r="PJ19" s="29"/>
      <c r="PK19" s="29"/>
      <c r="PL19" s="29"/>
      <c r="PM19" s="29"/>
      <c r="PN19" s="29"/>
      <c r="PO19" s="29"/>
      <c r="PP19" s="29"/>
      <c r="PQ19" s="29"/>
      <c r="PR19" s="29"/>
      <c r="PS19" s="29"/>
      <c r="PT19" s="29"/>
      <c r="PU19" s="29"/>
      <c r="PV19" s="29"/>
      <c r="PW19" s="29"/>
      <c r="PX19" s="29"/>
      <c r="PY19" s="29"/>
      <c r="PZ19" s="29"/>
      <c r="QA19" s="29"/>
      <c r="QB19" s="29"/>
      <c r="QC19" s="29"/>
      <c r="QD19" s="29"/>
      <c r="QE19" s="29"/>
      <c r="QF19" s="29"/>
      <c r="QG19" s="29"/>
      <c r="QH19" s="29"/>
      <c r="QI19" s="29"/>
      <c r="QJ19" s="29"/>
      <c r="QK19" s="29"/>
      <c r="QL19" s="29"/>
      <c r="QM19" s="29"/>
      <c r="QN19" s="29"/>
      <c r="QO19" s="29"/>
      <c r="QP19" s="29"/>
      <c r="QQ19" s="29"/>
      <c r="QR19" s="29"/>
      <c r="QS19" s="29"/>
      <c r="QT19" s="29"/>
      <c r="QU19" s="29"/>
      <c r="QV19" s="29"/>
      <c r="QW19" s="29"/>
      <c r="QX19" s="29"/>
      <c r="QY19" s="29"/>
      <c r="QZ19" s="29"/>
      <c r="RA19" s="29"/>
      <c r="RB19" s="29"/>
      <c r="RC19" s="29"/>
      <c r="RD19" s="29"/>
      <c r="RE19" s="29"/>
      <c r="RF19" s="29"/>
      <c r="RG19" s="29"/>
      <c r="RH19" s="29"/>
      <c r="RI19" s="29"/>
      <c r="RJ19" s="29"/>
      <c r="RK19" s="29"/>
      <c r="RL19" s="29"/>
      <c r="RM19" s="29"/>
      <c r="RN19" s="29"/>
      <c r="RO19" s="29"/>
      <c r="RP19" s="29"/>
      <c r="RQ19" s="29"/>
      <c r="RR19" s="29"/>
      <c r="RS19" s="29"/>
      <c r="RT19" s="29"/>
      <c r="RU19" s="29"/>
      <c r="RV19" s="29"/>
      <c r="RW19" s="29"/>
      <c r="RX19" s="29"/>
      <c r="RY19" s="29"/>
      <c r="RZ19" s="29"/>
      <c r="SA19" s="29"/>
      <c r="SB19" s="29"/>
      <c r="SC19" s="29"/>
      <c r="SD19" s="29"/>
      <c r="SE19" s="29"/>
      <c r="SF19" s="29"/>
      <c r="SG19" s="29"/>
      <c r="SH19" s="29"/>
      <c r="SI19" s="29"/>
      <c r="SJ19" s="29"/>
      <c r="SK19" s="29"/>
      <c r="SL19" s="29"/>
      <c r="SM19" s="29"/>
      <c r="SN19" s="29"/>
      <c r="SO19" s="29"/>
      <c r="SP19" s="29"/>
      <c r="SQ19" s="29"/>
      <c r="SR19" s="29"/>
      <c r="SS19" s="29"/>
      <c r="ST19" s="29"/>
      <c r="SU19" s="29"/>
      <c r="SV19" s="29"/>
      <c r="SW19" s="29"/>
      <c r="SX19" s="29"/>
      <c r="SY19" s="29"/>
      <c r="SZ19" s="29"/>
      <c r="TA19" s="29"/>
      <c r="TB19" s="29"/>
      <c r="TC19" s="29"/>
      <c r="TD19" s="29"/>
      <c r="TE19" s="29"/>
      <c r="TF19" s="29"/>
      <c r="TG19" s="29"/>
      <c r="TH19" s="29"/>
      <c r="TI19" s="29"/>
      <c r="TJ19" s="29"/>
      <c r="TK19" s="29"/>
      <c r="TL19" s="29"/>
      <c r="TM19" s="29"/>
      <c r="TN19" s="29"/>
      <c r="TO19" s="29"/>
      <c r="TP19" s="29"/>
      <c r="TQ19" s="29"/>
      <c r="TR19" s="29"/>
      <c r="TS19" s="29"/>
      <c r="TT19" s="29"/>
      <c r="TU19" s="29"/>
      <c r="TV19" s="29"/>
      <c r="TW19" s="29"/>
      <c r="TX19" s="29"/>
      <c r="TY19" s="29"/>
      <c r="TZ19" s="29"/>
      <c r="UA19" s="29"/>
      <c r="UB19" s="29"/>
      <c r="UC19" s="29"/>
      <c r="UD19" s="29"/>
      <c r="UE19" s="29"/>
      <c r="UF19" s="29"/>
      <c r="UG19" s="29"/>
      <c r="UH19" s="29"/>
      <c r="UI19" s="29"/>
      <c r="UJ19" s="29"/>
      <c r="UK19" s="29"/>
      <c r="UL19" s="29"/>
      <c r="UM19" s="29"/>
      <c r="UN19" s="29"/>
      <c r="UO19" s="29"/>
      <c r="UP19" s="29"/>
      <c r="UQ19" s="29"/>
      <c r="UR19" s="29"/>
      <c r="US19" s="29"/>
      <c r="UT19" s="29"/>
      <c r="UU19" s="29"/>
      <c r="UV19" s="29"/>
      <c r="UW19" s="29"/>
      <c r="UX19" s="29"/>
      <c r="UY19" s="29"/>
      <c r="UZ19" s="29"/>
      <c r="VA19" s="29"/>
      <c r="VB19" s="29"/>
      <c r="VC19" s="29"/>
      <c r="VD19" s="29"/>
      <c r="VE19" s="29"/>
      <c r="VF19" s="29"/>
      <c r="VG19" s="29"/>
      <c r="VH19" s="29"/>
      <c r="VI19" s="29"/>
      <c r="VJ19" s="29"/>
      <c r="VK19" s="29"/>
      <c r="VL19" s="29"/>
      <c r="VM19" s="29"/>
      <c r="VN19" s="29"/>
      <c r="VO19" s="29"/>
      <c r="VP19" s="29"/>
      <c r="VQ19" s="29"/>
      <c r="VR19" s="29"/>
      <c r="VS19" s="29"/>
      <c r="VT19" s="29"/>
      <c r="VU19" s="29"/>
      <c r="VV19" s="29"/>
      <c r="VW19" s="29"/>
      <c r="VX19" s="29"/>
      <c r="VY19" s="29"/>
      <c r="VZ19" s="29"/>
      <c r="WA19" s="29"/>
      <c r="WB19" s="29"/>
      <c r="WC19" s="29"/>
      <c r="WD19" s="29"/>
      <c r="WE19" s="29"/>
      <c r="WF19" s="29"/>
      <c r="WG19" s="29"/>
      <c r="WH19" s="29"/>
      <c r="WI19" s="29"/>
      <c r="WJ19" s="29"/>
      <c r="WK19" s="29"/>
      <c r="WL19" s="29"/>
      <c r="WM19" s="29"/>
      <c r="WN19" s="29"/>
      <c r="WO19" s="29"/>
      <c r="WP19" s="29"/>
      <c r="WQ19" s="29"/>
      <c r="WR19" s="29"/>
      <c r="WS19" s="29"/>
      <c r="WT19" s="29"/>
      <c r="WU19" s="29"/>
      <c r="WV19" s="29"/>
      <c r="WW19" s="29"/>
      <c r="WX19" s="29"/>
      <c r="WY19" s="29"/>
      <c r="WZ19" s="29"/>
      <c r="XA19" s="29"/>
      <c r="XB19" s="29"/>
      <c r="XC19" s="29"/>
      <c r="XD19" s="29"/>
      <c r="XE19" s="29"/>
      <c r="XF19" s="29"/>
      <c r="XG19" s="29"/>
      <c r="XH19" s="29"/>
      <c r="XI19" s="29"/>
      <c r="XJ19" s="29"/>
      <c r="XK19" s="29"/>
      <c r="XL19" s="29"/>
      <c r="XM19" s="29"/>
      <c r="XN19" s="29"/>
      <c r="XO19" s="29"/>
      <c r="XP19" s="29"/>
      <c r="XQ19" s="29"/>
      <c r="XR19" s="29"/>
      <c r="XS19" s="29"/>
      <c r="XT19" s="29"/>
      <c r="XU19" s="29"/>
      <c r="XV19" s="29"/>
      <c r="XW19" s="29"/>
      <c r="XX19" s="29"/>
      <c r="XY19" s="29"/>
      <c r="XZ19" s="29"/>
      <c r="YA19" s="29"/>
      <c r="YB19" s="29"/>
      <c r="YC19" s="29"/>
      <c r="YD19" s="29"/>
      <c r="YE19" s="29"/>
      <c r="YF19" s="29"/>
      <c r="YG19" s="29"/>
      <c r="YH19" s="29"/>
      <c r="YI19" s="29"/>
      <c r="YJ19" s="29"/>
      <c r="YK19" s="29"/>
      <c r="YL19" s="29"/>
      <c r="YM19" s="29"/>
      <c r="YN19" s="29"/>
      <c r="YO19" s="29"/>
      <c r="YP19" s="29"/>
      <c r="YQ19" s="29"/>
      <c r="YR19" s="29"/>
      <c r="YS19" s="29"/>
      <c r="YT19" s="29"/>
      <c r="YU19" s="29"/>
      <c r="YV19" s="29"/>
      <c r="YW19" s="29"/>
      <c r="YX19" s="29"/>
      <c r="YY19" s="29"/>
      <c r="YZ19" s="29"/>
      <c r="ZA19" s="29"/>
      <c r="ZB19" s="29"/>
      <c r="ZC19" s="29"/>
      <c r="ZD19" s="29"/>
      <c r="ZE19" s="29"/>
      <c r="ZF19" s="29"/>
      <c r="ZG19" s="29"/>
      <c r="ZH19" s="29"/>
      <c r="ZI19" s="29"/>
      <c r="ZJ19" s="29"/>
      <c r="ZK19" s="29"/>
      <c r="ZL19" s="29"/>
      <c r="ZM19" s="29"/>
      <c r="ZN19" s="29"/>
      <c r="ZO19" s="29"/>
      <c r="ZP19" s="29"/>
      <c r="ZQ19" s="29"/>
      <c r="ZR19" s="29"/>
      <c r="ZS19" s="29"/>
      <c r="ZT19" s="29"/>
      <c r="ZU19" s="29"/>
      <c r="ZV19" s="29"/>
      <c r="ZW19" s="29"/>
      <c r="ZX19" s="29"/>
      <c r="ZY19" s="29"/>
      <c r="ZZ19" s="29"/>
      <c r="AAA19" s="29"/>
      <c r="AAB19" s="29"/>
      <c r="AAC19" s="29"/>
      <c r="AAD19" s="29"/>
      <c r="AAE19" s="29"/>
      <c r="AAF19" s="29"/>
      <c r="AAG19" s="29"/>
      <c r="AAH19" s="29"/>
      <c r="AAI19" s="29"/>
      <c r="AAJ19" s="29"/>
      <c r="AAK19" s="29"/>
      <c r="AAL19" s="29"/>
      <c r="AAM19" s="29"/>
      <c r="AAN19" s="29"/>
      <c r="AAO19" s="29"/>
      <c r="AAP19" s="29"/>
      <c r="AAQ19" s="29"/>
      <c r="AAR19" s="29"/>
      <c r="AAS19" s="29"/>
      <c r="AAT19" s="29"/>
      <c r="AAU19" s="29"/>
      <c r="AAV19" s="29"/>
      <c r="AAW19" s="29"/>
      <c r="AAX19" s="29"/>
      <c r="AAY19" s="29"/>
      <c r="AAZ19" s="29"/>
      <c r="ABA19" s="29"/>
      <c r="ABB19" s="29"/>
      <c r="ABC19" s="29"/>
      <c r="ABD19" s="29"/>
      <c r="ABE19" s="29"/>
      <c r="ABF19" s="29"/>
      <c r="ABG19" s="29"/>
      <c r="ABH19" s="29"/>
      <c r="ABI19" s="29"/>
      <c r="ABJ19" s="29"/>
      <c r="ABK19" s="29"/>
      <c r="ABL19" s="29"/>
      <c r="ABM19" s="29"/>
      <c r="ABN19" s="29"/>
      <c r="ABO19" s="29"/>
      <c r="ABP19" s="29"/>
      <c r="ABQ19" s="29"/>
      <c r="ABR19" s="29"/>
      <c r="ABS19" s="29"/>
      <c r="ABT19" s="29"/>
      <c r="ABU19" s="29"/>
      <c r="ABV19" s="29"/>
      <c r="ABW19" s="29"/>
      <c r="ABX19" s="29"/>
      <c r="ABY19" s="29"/>
      <c r="ABZ19" s="29"/>
      <c r="ACA19" s="29"/>
      <c r="ACB19" s="29"/>
      <c r="ACC19" s="29"/>
      <c r="ACD19" s="29"/>
      <c r="ACE19" s="29"/>
      <c r="ACF19" s="29"/>
      <c r="ACG19" s="29"/>
      <c r="ACH19" s="29"/>
      <c r="ACI19" s="29"/>
      <c r="ACJ19" s="29"/>
      <c r="ACK19" s="29"/>
      <c r="ACL19" s="29"/>
      <c r="ACM19" s="29"/>
      <c r="ACN19" s="29"/>
      <c r="ACO19" s="29"/>
      <c r="ACP19" s="29"/>
      <c r="ACQ19" s="29"/>
      <c r="ACR19" s="29"/>
      <c r="ACS19" s="29"/>
      <c r="ACT19" s="29"/>
      <c r="ACU19" s="29"/>
      <c r="ACV19" s="29"/>
      <c r="ACW19" s="29"/>
      <c r="ACX19" s="29"/>
      <c r="ACY19" s="29"/>
      <c r="ACZ19" s="29"/>
      <c r="ADA19" s="29"/>
      <c r="ADB19" s="29"/>
      <c r="ADC19" s="29"/>
      <c r="ADD19" s="29"/>
      <c r="ADE19" s="29"/>
      <c r="ADF19" s="29"/>
      <c r="ADG19" s="29"/>
      <c r="ADH19" s="29"/>
      <c r="ADI19" s="29"/>
      <c r="ADJ19" s="29"/>
      <c r="ADK19" s="29"/>
      <c r="ADL19" s="29"/>
      <c r="ADM19" s="29"/>
      <c r="ADN19" s="29"/>
      <c r="ADO19" s="29"/>
      <c r="ADP19" s="29"/>
      <c r="ADQ19" s="29"/>
      <c r="ADR19" s="29"/>
      <c r="ADS19" s="29"/>
      <c r="ADT19" s="29"/>
      <c r="ADU19" s="29"/>
      <c r="ADV19" s="29"/>
      <c r="ADW19" s="29"/>
      <c r="ADX19" s="29"/>
      <c r="ADY19" s="29"/>
      <c r="ADZ19" s="29"/>
      <c r="AEA19" s="29"/>
      <c r="AEB19" s="29"/>
      <c r="AEC19" s="29"/>
      <c r="AED19" s="29"/>
      <c r="AEE19" s="29"/>
      <c r="AEF19" s="29"/>
      <c r="AEG19" s="29"/>
      <c r="AEH19" s="29"/>
      <c r="AEI19" s="29"/>
      <c r="AEJ19" s="29"/>
      <c r="AEK19" s="29"/>
      <c r="AEL19" s="29"/>
      <c r="AEM19" s="29"/>
      <c r="AEN19" s="29"/>
      <c r="AEO19" s="29"/>
      <c r="AEP19" s="29"/>
      <c r="AEQ19" s="29"/>
      <c r="AER19" s="29"/>
      <c r="AES19" s="29"/>
      <c r="AET19" s="29"/>
      <c r="AEU19" s="29"/>
      <c r="AEV19" s="29"/>
      <c r="AEW19" s="29"/>
      <c r="AEX19" s="29"/>
      <c r="AEY19" s="29"/>
      <c r="AEZ19" s="29"/>
      <c r="AFA19" s="29"/>
      <c r="AFB19" s="29"/>
      <c r="AFC19" s="29"/>
      <c r="AFD19" s="29"/>
      <c r="AFE19" s="29"/>
      <c r="AFF19" s="29"/>
      <c r="AFG19" s="29"/>
      <c r="AFH19" s="29"/>
      <c r="AFI19" s="29"/>
      <c r="AFJ19" s="29"/>
      <c r="AFK19" s="29"/>
      <c r="AFL19" s="29"/>
      <c r="AFM19" s="29"/>
      <c r="AFN19" s="29"/>
      <c r="AFO19" s="29"/>
      <c r="AFP19" s="29"/>
      <c r="AFQ19" s="29"/>
      <c r="AFR19" s="29"/>
      <c r="AFS19" s="29"/>
      <c r="AFT19" s="29"/>
      <c r="AFU19" s="29"/>
      <c r="AFV19" s="29"/>
      <c r="AFW19" s="29"/>
      <c r="AFX19" s="29"/>
      <c r="AFY19" s="29"/>
      <c r="AFZ19" s="29"/>
      <c r="AGA19" s="29"/>
      <c r="AGB19" s="29"/>
      <c r="AGC19" s="29"/>
      <c r="AGD19" s="29"/>
      <c r="AGE19" s="29"/>
      <c r="AGF19" s="29"/>
      <c r="AGG19" s="29"/>
      <c r="AGH19" s="29"/>
      <c r="AGI19" s="29"/>
      <c r="AGJ19" s="29"/>
      <c r="AGK19" s="29"/>
      <c r="AGL19" s="29"/>
      <c r="AGM19" s="29"/>
      <c r="AGN19" s="29"/>
      <c r="AGO19" s="29"/>
      <c r="AGP19" s="29"/>
      <c r="AGQ19" s="29"/>
      <c r="AGR19" s="29"/>
      <c r="AGS19" s="29"/>
      <c r="AGT19" s="29"/>
      <c r="AGU19" s="29"/>
      <c r="AGV19" s="29"/>
      <c r="AGW19" s="29"/>
      <c r="AGX19" s="29"/>
      <c r="AGY19" s="29"/>
      <c r="AGZ19" s="29"/>
      <c r="AHA19" s="29"/>
      <c r="AHB19" s="29"/>
      <c r="AHC19" s="29"/>
      <c r="AHD19" s="29"/>
      <c r="AHE19" s="29"/>
      <c r="AHF19" s="29"/>
      <c r="AHG19" s="29"/>
      <c r="AHH19" s="29"/>
      <c r="AHI19" s="29"/>
      <c r="AHJ19" s="29"/>
      <c r="AHK19" s="29"/>
      <c r="AHL19" s="29"/>
      <c r="AHM19" s="29"/>
      <c r="AHN19" s="29"/>
      <c r="AHO19" s="29"/>
      <c r="AHP19" s="29"/>
      <c r="AHQ19" s="29"/>
      <c r="AHR19" s="29"/>
      <c r="AHS19" s="29"/>
      <c r="AHT19" s="29"/>
      <c r="AHU19" s="29"/>
      <c r="AHV19" s="29"/>
      <c r="AHW19" s="29"/>
      <c r="AHX19" s="29"/>
      <c r="AHY19" s="29"/>
      <c r="AHZ19" s="29"/>
      <c r="AIA19" s="29"/>
      <c r="AIB19" s="29"/>
      <c r="AIC19" s="29"/>
      <c r="AID19" s="29"/>
      <c r="AIE19" s="29"/>
      <c r="AIF19" s="29"/>
      <c r="AIG19" s="29"/>
      <c r="AIH19" s="29"/>
      <c r="AII19" s="29"/>
      <c r="AIJ19" s="29"/>
      <c r="AIK19" s="29"/>
      <c r="AIL19" s="29"/>
      <c r="AIM19" s="29"/>
      <c r="AIN19" s="29"/>
      <c r="AIO19" s="29"/>
      <c r="AIP19" s="29"/>
      <c r="AIQ19" s="29"/>
      <c r="AIR19" s="29"/>
      <c r="AIS19" s="29"/>
      <c r="AIT19" s="29"/>
      <c r="AIU19" s="29"/>
      <c r="AIV19" s="29"/>
      <c r="AIW19" s="29"/>
      <c r="AIX19" s="29"/>
      <c r="AIY19" s="29"/>
      <c r="AIZ19" s="29"/>
      <c r="AJA19" s="29"/>
      <c r="AJB19" s="29"/>
      <c r="AJC19" s="29"/>
      <c r="AJD19" s="29"/>
      <c r="AJE19" s="29"/>
      <c r="AJF19" s="29"/>
      <c r="AJG19" s="29"/>
      <c r="AJH19" s="29"/>
      <c r="AJI19" s="29"/>
      <c r="AJJ19" s="29"/>
      <c r="AJK19" s="29"/>
      <c r="AJL19" s="29"/>
      <c r="AJM19" s="29"/>
      <c r="AJN19" s="29"/>
      <c r="AJO19" s="29"/>
      <c r="AJP19" s="29"/>
      <c r="AJQ19" s="29"/>
      <c r="AJR19" s="29"/>
      <c r="AJS19" s="29"/>
      <c r="AJT19" s="29"/>
      <c r="AJU19" s="29"/>
      <c r="AJV19" s="29"/>
      <c r="AJW19" s="29"/>
      <c r="AJX19" s="29"/>
      <c r="AJY19" s="29"/>
      <c r="AJZ19" s="29"/>
      <c r="AKA19" s="29"/>
      <c r="AKB19" s="29"/>
      <c r="AKC19" s="29"/>
      <c r="AKD19" s="29"/>
      <c r="AKE19" s="29"/>
      <c r="AKF19" s="29"/>
      <c r="AKG19" s="29"/>
      <c r="AKH19" s="29"/>
      <c r="AKI19" s="29"/>
      <c r="AKJ19" s="29"/>
      <c r="AKK19" s="29"/>
      <c r="AKL19" s="29"/>
      <c r="AKM19" s="29"/>
      <c r="AKN19" s="29"/>
      <c r="AKO19" s="29"/>
      <c r="AKP19" s="29"/>
      <c r="AKQ19" s="29"/>
      <c r="AKR19" s="29"/>
      <c r="AKS19" s="29"/>
      <c r="AKT19" s="29"/>
      <c r="AKU19" s="29"/>
      <c r="AKV19" s="29"/>
      <c r="AKW19" s="29"/>
      <c r="AKX19" s="29"/>
      <c r="AKY19" s="29"/>
      <c r="AKZ19" s="29"/>
      <c r="ALA19" s="29"/>
      <c r="ALB19" s="29"/>
      <c r="ALC19" s="29"/>
      <c r="ALD19" s="29"/>
      <c r="ALE19" s="29"/>
      <c r="ALF19" s="29"/>
      <c r="ALG19" s="29"/>
      <c r="ALH19" s="29"/>
      <c r="ALI19" s="29"/>
      <c r="ALJ19" s="29"/>
      <c r="ALK19" s="29"/>
      <c r="ALL19" s="29"/>
      <c r="ALM19" s="29"/>
      <c r="ALN19" s="29"/>
      <c r="ALO19" s="29"/>
      <c r="ALP19" s="29"/>
      <c r="ALQ19" s="29"/>
      <c r="ALR19" s="29"/>
      <c r="ALS19" s="29"/>
      <c r="ALT19" s="29"/>
      <c r="ALU19" s="29"/>
      <c r="ALV19" s="29"/>
      <c r="ALW19" s="29"/>
      <c r="ALX19" s="29"/>
      <c r="ALY19" s="29"/>
      <c r="ALZ19" s="29"/>
      <c r="AMA19" s="29"/>
      <c r="AMB19" s="29"/>
      <c r="AMC19" s="29"/>
      <c r="AMD19" s="29"/>
    </row>
    <row r="20" customFormat="false" ht="15" hidden="false" customHeight="true" outlineLevel="0" collapsed="false">
      <c r="A20" s="16"/>
      <c r="B20" s="125" t="str">
        <f aca="false">'Base Pato Branco'!B8</f>
        <v>APS DOIS VIZINHOS</v>
      </c>
      <c r="C20" s="276" t="n">
        <f aca="false">VLOOKUP(B20,Unidades!$D$5:$G$28,4,)</f>
        <v>0.03</v>
      </c>
      <c r="D20" s="277" t="n">
        <f aca="false">'Base Pato Branco'!AD8*12+'Base Pato Branco'!AE8*4+'Base Pato Branco'!AF8*2+'Base Pato Branco'!AG8</f>
        <v>10475.0262483987</v>
      </c>
      <c r="E20" s="277" t="n">
        <f aca="false">'Base Pato Branco'!AK8*12+'Base Pato Branco'!AL8*4+'Base Pato Branco'!AM8*2+'Base Pato Branco'!AN8</f>
        <v>12940.8474272717</v>
      </c>
      <c r="G20" s="29"/>
      <c r="H20" s="29"/>
      <c r="I20" s="29"/>
      <c r="J20" s="29"/>
      <c r="K20" s="29"/>
      <c r="L20" s="29"/>
      <c r="M20" s="29"/>
      <c r="IO20" s="16"/>
      <c r="IP20" s="16"/>
      <c r="IQ20" s="16"/>
      <c r="IR20" s="16"/>
      <c r="IS20" s="16"/>
      <c r="IT20" s="16"/>
      <c r="IU20" s="16"/>
      <c r="IV20" s="16"/>
      <c r="IW20" s="16"/>
      <c r="IX20" s="16"/>
      <c r="IY20" s="16"/>
      <c r="IZ20" s="16"/>
      <c r="JA20" s="16"/>
      <c r="JB20" s="16"/>
      <c r="JC20" s="16"/>
      <c r="JD20" s="16"/>
      <c r="JE20" s="16"/>
      <c r="JF20" s="16"/>
      <c r="JG20" s="16"/>
      <c r="JH20" s="16"/>
      <c r="JI20" s="16"/>
      <c r="JJ20" s="16"/>
      <c r="JK20" s="16"/>
      <c r="JL20" s="16"/>
      <c r="JM20" s="16"/>
      <c r="JN20" s="16"/>
      <c r="JO20" s="16"/>
      <c r="JP20" s="16"/>
      <c r="JQ20" s="16"/>
      <c r="JR20" s="16"/>
      <c r="JS20" s="16"/>
      <c r="JT20" s="16"/>
      <c r="JU20" s="16"/>
      <c r="JV20" s="16"/>
      <c r="JW20" s="16"/>
      <c r="JX20" s="16"/>
      <c r="JY20" s="16"/>
      <c r="JZ20" s="16"/>
      <c r="KA20" s="16"/>
      <c r="KB20" s="16"/>
      <c r="KC20" s="16"/>
      <c r="KD20" s="16"/>
      <c r="KE20" s="16"/>
      <c r="KF20" s="16"/>
      <c r="KG20" s="16"/>
      <c r="KH20" s="16"/>
      <c r="KI20" s="16"/>
      <c r="KJ20" s="16"/>
      <c r="KK20" s="16"/>
      <c r="KL20" s="16"/>
      <c r="KM20" s="16"/>
      <c r="KN20" s="16"/>
      <c r="KO20" s="16"/>
      <c r="KP20" s="16"/>
      <c r="KQ20" s="16"/>
      <c r="KR20" s="16"/>
      <c r="KS20" s="16"/>
      <c r="KT20" s="16"/>
      <c r="KU20" s="16"/>
      <c r="KV20" s="16"/>
      <c r="KW20" s="16"/>
      <c r="KX20" s="16"/>
      <c r="KY20" s="16"/>
      <c r="KZ20" s="16"/>
      <c r="LA20" s="16"/>
      <c r="LB20" s="16"/>
      <c r="LC20" s="16"/>
      <c r="LD20" s="16"/>
      <c r="LE20" s="16"/>
      <c r="LF20" s="16"/>
      <c r="LG20" s="16"/>
      <c r="LH20" s="16"/>
      <c r="LI20" s="16"/>
      <c r="LJ20" s="16"/>
      <c r="LK20" s="16"/>
      <c r="LL20" s="16"/>
      <c r="LM20" s="16"/>
      <c r="LN20" s="16"/>
      <c r="LO20" s="16"/>
      <c r="LP20" s="16"/>
      <c r="LQ20" s="16"/>
      <c r="LR20" s="16"/>
      <c r="LS20" s="16"/>
      <c r="LT20" s="16"/>
      <c r="LU20" s="16"/>
      <c r="LV20" s="16"/>
      <c r="LW20" s="16"/>
      <c r="LX20" s="16"/>
      <c r="LY20" s="16"/>
      <c r="LZ20" s="16"/>
      <c r="MA20" s="16"/>
      <c r="MB20" s="16"/>
      <c r="MC20" s="16"/>
      <c r="MD20" s="16"/>
      <c r="ME20" s="16"/>
      <c r="MF20" s="16"/>
      <c r="MG20" s="16"/>
      <c r="MH20" s="16"/>
      <c r="MI20" s="16"/>
      <c r="MJ20" s="16"/>
      <c r="MK20" s="16"/>
      <c r="ML20" s="16"/>
      <c r="MM20" s="16"/>
      <c r="MN20" s="16"/>
      <c r="MO20" s="16"/>
      <c r="MP20" s="16"/>
      <c r="MQ20" s="16"/>
      <c r="MR20" s="16"/>
      <c r="MS20" s="16"/>
      <c r="MT20" s="16"/>
      <c r="MU20" s="16"/>
      <c r="MV20" s="16"/>
      <c r="MW20" s="16"/>
      <c r="MX20" s="16"/>
      <c r="MY20" s="16"/>
      <c r="MZ20" s="16"/>
      <c r="NA20" s="16"/>
      <c r="NB20" s="16"/>
      <c r="NC20" s="16"/>
      <c r="ND20" s="16"/>
      <c r="NE20" s="16"/>
      <c r="NF20" s="16"/>
      <c r="NG20" s="16"/>
      <c r="NH20" s="16"/>
      <c r="NI20" s="16"/>
      <c r="NJ20" s="16"/>
      <c r="NK20" s="16"/>
      <c r="NL20" s="16"/>
      <c r="NM20" s="16"/>
      <c r="NN20" s="16"/>
      <c r="NO20" s="16"/>
      <c r="NP20" s="16"/>
      <c r="NQ20" s="16"/>
      <c r="NR20" s="16"/>
      <c r="NS20" s="16"/>
      <c r="NT20" s="16"/>
      <c r="NU20" s="16"/>
      <c r="NV20" s="16"/>
      <c r="NW20" s="16"/>
      <c r="NX20" s="16"/>
      <c r="NY20" s="16"/>
      <c r="NZ20" s="16"/>
      <c r="OA20" s="16"/>
      <c r="OB20" s="16"/>
      <c r="OC20" s="16"/>
      <c r="OD20" s="16"/>
      <c r="OE20" s="16"/>
      <c r="OF20" s="16"/>
      <c r="OG20" s="16"/>
      <c r="OH20" s="16"/>
      <c r="OI20" s="16"/>
      <c r="OJ20" s="16"/>
      <c r="OK20" s="16"/>
      <c r="OL20" s="16"/>
      <c r="OM20" s="16"/>
      <c r="ON20" s="16"/>
      <c r="OO20" s="16"/>
      <c r="OP20" s="16"/>
      <c r="OQ20" s="16"/>
      <c r="OR20" s="16"/>
      <c r="OS20" s="16"/>
      <c r="OT20" s="16"/>
      <c r="OU20" s="16"/>
      <c r="OV20" s="16"/>
      <c r="OW20" s="16"/>
      <c r="OX20" s="16"/>
      <c r="OY20" s="16"/>
      <c r="OZ20" s="16"/>
      <c r="PA20" s="16"/>
      <c r="PB20" s="16"/>
      <c r="PC20" s="16"/>
      <c r="PD20" s="16"/>
      <c r="PE20" s="16"/>
      <c r="PF20" s="16"/>
      <c r="PG20" s="16"/>
      <c r="PH20" s="16"/>
      <c r="PI20" s="16"/>
      <c r="PJ20" s="16"/>
      <c r="PK20" s="16"/>
      <c r="PL20" s="16"/>
      <c r="PM20" s="16"/>
      <c r="PN20" s="16"/>
      <c r="PO20" s="16"/>
      <c r="PP20" s="16"/>
      <c r="PQ20" s="16"/>
      <c r="PR20" s="16"/>
      <c r="PS20" s="16"/>
      <c r="PT20" s="16"/>
      <c r="PU20" s="16"/>
      <c r="PV20" s="16"/>
      <c r="PW20" s="16"/>
      <c r="PX20" s="16"/>
      <c r="PY20" s="16"/>
      <c r="PZ20" s="16"/>
      <c r="QA20" s="16"/>
      <c r="QB20" s="16"/>
      <c r="QC20" s="16"/>
      <c r="QD20" s="16"/>
      <c r="QE20" s="16"/>
      <c r="QF20" s="16"/>
      <c r="QG20" s="16"/>
      <c r="QH20" s="16"/>
      <c r="QI20" s="16"/>
      <c r="QJ20" s="16"/>
      <c r="QK20" s="16"/>
      <c r="QL20" s="16"/>
      <c r="QM20" s="16"/>
      <c r="QN20" s="16"/>
      <c r="QO20" s="16"/>
      <c r="QP20" s="16"/>
      <c r="QQ20" s="16"/>
      <c r="QR20" s="16"/>
      <c r="QS20" s="16"/>
      <c r="QT20" s="16"/>
      <c r="QU20" s="16"/>
      <c r="QV20" s="16"/>
      <c r="QW20" s="16"/>
      <c r="QX20" s="16"/>
      <c r="QY20" s="16"/>
      <c r="QZ20" s="16"/>
      <c r="RA20" s="16"/>
      <c r="RB20" s="16"/>
      <c r="RC20" s="16"/>
      <c r="RD20" s="16"/>
      <c r="RE20" s="16"/>
      <c r="RF20" s="16"/>
      <c r="RG20" s="16"/>
      <c r="RH20" s="16"/>
      <c r="RI20" s="16"/>
      <c r="RJ20" s="16"/>
      <c r="RK20" s="16"/>
      <c r="RL20" s="16"/>
      <c r="RM20" s="16"/>
      <c r="RN20" s="16"/>
      <c r="RO20" s="16"/>
      <c r="RP20" s="16"/>
      <c r="RQ20" s="16"/>
      <c r="RR20" s="16"/>
      <c r="RS20" s="16"/>
      <c r="RT20" s="16"/>
      <c r="RU20" s="16"/>
      <c r="RV20" s="16"/>
      <c r="RW20" s="16"/>
      <c r="RX20" s="16"/>
      <c r="RY20" s="16"/>
      <c r="RZ20" s="16"/>
      <c r="SA20" s="16"/>
      <c r="SB20" s="16"/>
      <c r="SC20" s="16"/>
      <c r="SD20" s="16"/>
      <c r="SE20" s="16"/>
      <c r="SF20" s="16"/>
      <c r="SG20" s="16"/>
      <c r="SH20" s="16"/>
      <c r="SI20" s="16"/>
      <c r="SJ20" s="16"/>
      <c r="SK20" s="16"/>
      <c r="SL20" s="16"/>
      <c r="SM20" s="16"/>
      <c r="SN20" s="16"/>
      <c r="SO20" s="16"/>
      <c r="SP20" s="16"/>
      <c r="SQ20" s="16"/>
      <c r="SR20" s="16"/>
      <c r="SS20" s="16"/>
      <c r="ST20" s="16"/>
      <c r="SU20" s="16"/>
      <c r="SV20" s="16"/>
      <c r="SW20" s="16"/>
      <c r="SX20" s="16"/>
      <c r="SY20" s="16"/>
      <c r="SZ20" s="16"/>
      <c r="TA20" s="16"/>
      <c r="TB20" s="16"/>
      <c r="TC20" s="16"/>
      <c r="TD20" s="16"/>
      <c r="TE20" s="16"/>
      <c r="TF20" s="16"/>
      <c r="TG20" s="16"/>
      <c r="TH20" s="16"/>
      <c r="TI20" s="16"/>
      <c r="TJ20" s="16"/>
      <c r="TK20" s="16"/>
      <c r="TL20" s="16"/>
      <c r="TM20" s="16"/>
      <c r="TN20" s="16"/>
      <c r="TO20" s="16"/>
      <c r="TP20" s="16"/>
      <c r="TQ20" s="16"/>
      <c r="TR20" s="16"/>
      <c r="TS20" s="16"/>
      <c r="TT20" s="16"/>
      <c r="TU20" s="16"/>
      <c r="TV20" s="16"/>
      <c r="TW20" s="16"/>
      <c r="TX20" s="16"/>
      <c r="TY20" s="16"/>
      <c r="TZ20" s="16"/>
      <c r="UA20" s="16"/>
      <c r="UB20" s="16"/>
      <c r="UC20" s="16"/>
      <c r="UD20" s="16"/>
      <c r="UE20" s="16"/>
      <c r="UF20" s="16"/>
      <c r="UG20" s="16"/>
      <c r="UH20" s="16"/>
      <c r="UI20" s="16"/>
      <c r="UJ20" s="16"/>
      <c r="UK20" s="16"/>
      <c r="UL20" s="16"/>
      <c r="UM20" s="16"/>
      <c r="UN20" s="16"/>
      <c r="UO20" s="16"/>
      <c r="UP20" s="16"/>
      <c r="UQ20" s="16"/>
      <c r="UR20" s="16"/>
      <c r="US20" s="16"/>
      <c r="UT20" s="16"/>
      <c r="UU20" s="16"/>
      <c r="UV20" s="16"/>
      <c r="UW20" s="16"/>
      <c r="UX20" s="16"/>
      <c r="UY20" s="16"/>
      <c r="UZ20" s="16"/>
      <c r="VA20" s="16"/>
      <c r="VB20" s="16"/>
      <c r="VC20" s="16"/>
      <c r="VD20" s="16"/>
      <c r="VE20" s="16"/>
      <c r="VF20" s="16"/>
      <c r="VG20" s="16"/>
      <c r="VH20" s="16"/>
      <c r="VI20" s="16"/>
      <c r="VJ20" s="16"/>
      <c r="VK20" s="16"/>
      <c r="VL20" s="16"/>
      <c r="VM20" s="16"/>
      <c r="VN20" s="16"/>
      <c r="VO20" s="16"/>
      <c r="VP20" s="16"/>
      <c r="VQ20" s="16"/>
      <c r="VR20" s="16"/>
      <c r="VS20" s="16"/>
      <c r="VT20" s="16"/>
      <c r="VU20" s="16"/>
      <c r="VV20" s="16"/>
      <c r="VW20" s="16"/>
      <c r="VX20" s="16"/>
      <c r="VY20" s="16"/>
      <c r="VZ20" s="16"/>
      <c r="WA20" s="16"/>
      <c r="WB20" s="16"/>
      <c r="WC20" s="16"/>
      <c r="WD20" s="16"/>
      <c r="WE20" s="16"/>
      <c r="WF20" s="16"/>
      <c r="WG20" s="16"/>
      <c r="WH20" s="16"/>
      <c r="WI20" s="16"/>
      <c r="WJ20" s="16"/>
      <c r="WK20" s="16"/>
      <c r="WL20" s="16"/>
      <c r="WM20" s="16"/>
      <c r="WN20" s="16"/>
      <c r="WO20" s="16"/>
      <c r="WP20" s="16"/>
      <c r="WQ20" s="16"/>
      <c r="WR20" s="16"/>
      <c r="WS20" s="16"/>
      <c r="WT20" s="16"/>
      <c r="WU20" s="16"/>
      <c r="WV20" s="16"/>
      <c r="WW20" s="16"/>
      <c r="WX20" s="16"/>
      <c r="WY20" s="16"/>
      <c r="WZ20" s="16"/>
      <c r="XA20" s="16"/>
      <c r="XB20" s="16"/>
      <c r="XC20" s="16"/>
      <c r="XD20" s="16"/>
      <c r="XE20" s="16"/>
      <c r="XF20" s="16"/>
      <c r="XG20" s="16"/>
      <c r="XH20" s="16"/>
      <c r="XI20" s="16"/>
      <c r="XJ20" s="16"/>
      <c r="XK20" s="16"/>
      <c r="XL20" s="16"/>
      <c r="XM20" s="16"/>
      <c r="XN20" s="16"/>
      <c r="XO20" s="16"/>
      <c r="XP20" s="16"/>
      <c r="XQ20" s="16"/>
      <c r="XR20" s="16"/>
      <c r="XS20" s="16"/>
      <c r="XT20" s="16"/>
      <c r="XU20" s="16"/>
      <c r="XV20" s="16"/>
      <c r="XW20" s="16"/>
      <c r="XX20" s="16"/>
      <c r="XY20" s="16"/>
      <c r="XZ20" s="16"/>
      <c r="YA20" s="16"/>
      <c r="YB20" s="16"/>
      <c r="YC20" s="16"/>
      <c r="YD20" s="16"/>
      <c r="YE20" s="16"/>
      <c r="YF20" s="16"/>
      <c r="YG20" s="16"/>
      <c r="YH20" s="16"/>
      <c r="YI20" s="16"/>
      <c r="YJ20" s="16"/>
      <c r="YK20" s="16"/>
      <c r="YL20" s="16"/>
      <c r="YM20" s="16"/>
      <c r="YN20" s="16"/>
      <c r="YO20" s="16"/>
      <c r="YP20" s="16"/>
      <c r="YQ20" s="16"/>
      <c r="YR20" s="16"/>
      <c r="YS20" s="16"/>
      <c r="YT20" s="16"/>
      <c r="YU20" s="16"/>
      <c r="YV20" s="16"/>
      <c r="YW20" s="16"/>
      <c r="YX20" s="16"/>
      <c r="YY20" s="16"/>
      <c r="YZ20" s="16"/>
      <c r="ZA20" s="16"/>
      <c r="ZB20" s="16"/>
      <c r="ZC20" s="16"/>
      <c r="ZD20" s="16"/>
      <c r="ZE20" s="16"/>
      <c r="ZF20" s="16"/>
      <c r="ZG20" s="16"/>
      <c r="ZH20" s="16"/>
      <c r="ZI20" s="16"/>
      <c r="ZJ20" s="16"/>
      <c r="ZK20" s="16"/>
      <c r="ZL20" s="16"/>
      <c r="ZM20" s="16"/>
      <c r="ZN20" s="16"/>
      <c r="ZO20" s="16"/>
      <c r="ZP20" s="16"/>
      <c r="ZQ20" s="16"/>
      <c r="ZR20" s="16"/>
      <c r="ZS20" s="16"/>
      <c r="ZT20" s="16"/>
      <c r="ZU20" s="16"/>
      <c r="ZV20" s="16"/>
      <c r="ZW20" s="16"/>
      <c r="ZX20" s="16"/>
      <c r="ZY20" s="16"/>
      <c r="ZZ20" s="16"/>
      <c r="AAA20" s="16"/>
      <c r="AAB20" s="16"/>
      <c r="AAC20" s="16"/>
      <c r="AAD20" s="16"/>
      <c r="AAE20" s="16"/>
      <c r="AAF20" s="16"/>
      <c r="AAG20" s="16"/>
      <c r="AAH20" s="16"/>
      <c r="AAI20" s="16"/>
      <c r="AAJ20" s="16"/>
      <c r="AAK20" s="16"/>
      <c r="AAL20" s="16"/>
      <c r="AAM20" s="16"/>
      <c r="AAN20" s="16"/>
      <c r="AAO20" s="16"/>
      <c r="AAP20" s="16"/>
      <c r="AAQ20" s="16"/>
      <c r="AAR20" s="16"/>
      <c r="AAS20" s="16"/>
      <c r="AAT20" s="16"/>
      <c r="AAU20" s="16"/>
      <c r="AAV20" s="16"/>
      <c r="AAW20" s="16"/>
      <c r="AAX20" s="16"/>
      <c r="AAY20" s="16"/>
      <c r="AAZ20" s="16"/>
      <c r="ABA20" s="16"/>
      <c r="ABB20" s="16"/>
      <c r="ABC20" s="16"/>
      <c r="ABD20" s="16"/>
      <c r="ABE20" s="16"/>
      <c r="ABF20" s="16"/>
      <c r="ABG20" s="16"/>
      <c r="ABH20" s="16"/>
      <c r="ABI20" s="16"/>
      <c r="ABJ20" s="16"/>
      <c r="ABK20" s="16"/>
      <c r="ABL20" s="16"/>
      <c r="ABM20" s="16"/>
      <c r="ABN20" s="16"/>
      <c r="ABO20" s="16"/>
      <c r="ABP20" s="16"/>
      <c r="ABQ20" s="16"/>
      <c r="ABR20" s="16"/>
      <c r="ABS20" s="16"/>
      <c r="ABT20" s="16"/>
      <c r="ABU20" s="16"/>
      <c r="ABV20" s="16"/>
      <c r="ABW20" s="16"/>
      <c r="ABX20" s="16"/>
      <c r="ABY20" s="16"/>
      <c r="ABZ20" s="16"/>
      <c r="ACA20" s="16"/>
      <c r="ACB20" s="16"/>
      <c r="ACC20" s="16"/>
      <c r="ACD20" s="16"/>
      <c r="ACE20" s="16"/>
      <c r="ACF20" s="16"/>
      <c r="ACG20" s="16"/>
      <c r="ACH20" s="16"/>
      <c r="ACI20" s="16"/>
      <c r="ACJ20" s="16"/>
      <c r="ACK20" s="16"/>
      <c r="ACL20" s="16"/>
      <c r="ACM20" s="16"/>
      <c r="ACN20" s="16"/>
      <c r="ACO20" s="16"/>
      <c r="ACP20" s="16"/>
      <c r="ACQ20" s="16"/>
      <c r="ACR20" s="16"/>
      <c r="ACS20" s="16"/>
      <c r="ACT20" s="16"/>
      <c r="ACU20" s="16"/>
      <c r="ACV20" s="16"/>
      <c r="ACW20" s="16"/>
      <c r="ACX20" s="16"/>
      <c r="ACY20" s="16"/>
      <c r="ACZ20" s="16"/>
      <c r="ADA20" s="16"/>
      <c r="ADB20" s="16"/>
      <c r="ADC20" s="16"/>
      <c r="ADD20" s="16"/>
      <c r="ADE20" s="16"/>
      <c r="ADF20" s="16"/>
      <c r="ADG20" s="16"/>
      <c r="ADH20" s="16"/>
      <c r="ADI20" s="16"/>
      <c r="ADJ20" s="16"/>
      <c r="ADK20" s="16"/>
      <c r="ADL20" s="16"/>
      <c r="ADM20" s="16"/>
      <c r="ADN20" s="16"/>
      <c r="ADO20" s="16"/>
      <c r="ADP20" s="16"/>
      <c r="ADQ20" s="16"/>
      <c r="ADR20" s="16"/>
      <c r="ADS20" s="16"/>
      <c r="ADT20" s="16"/>
      <c r="ADU20" s="16"/>
      <c r="ADV20" s="16"/>
      <c r="ADW20" s="16"/>
      <c r="ADX20" s="16"/>
      <c r="ADY20" s="16"/>
      <c r="ADZ20" s="16"/>
      <c r="AEA20" s="16"/>
      <c r="AEB20" s="16"/>
      <c r="AEC20" s="16"/>
      <c r="AED20" s="16"/>
      <c r="AEE20" s="16"/>
      <c r="AEF20" s="16"/>
      <c r="AEG20" s="16"/>
      <c r="AEH20" s="16"/>
      <c r="AEI20" s="16"/>
      <c r="AEJ20" s="16"/>
      <c r="AEK20" s="16"/>
      <c r="AEL20" s="16"/>
      <c r="AEM20" s="16"/>
      <c r="AEN20" s="16"/>
      <c r="AEO20" s="16"/>
      <c r="AEP20" s="16"/>
      <c r="AEQ20" s="16"/>
      <c r="AER20" s="16"/>
      <c r="AES20" s="16"/>
      <c r="AET20" s="16"/>
      <c r="AEU20" s="16"/>
      <c r="AEV20" s="16"/>
      <c r="AEW20" s="16"/>
      <c r="AEX20" s="16"/>
      <c r="AEY20" s="16"/>
      <c r="AEZ20" s="16"/>
      <c r="AFA20" s="16"/>
      <c r="AFB20" s="16"/>
      <c r="AFC20" s="16"/>
      <c r="AFD20" s="16"/>
      <c r="AFE20" s="16"/>
      <c r="AFF20" s="16"/>
      <c r="AFG20" s="16"/>
      <c r="AFH20" s="16"/>
      <c r="AFI20" s="16"/>
      <c r="AFJ20" s="16"/>
      <c r="AFK20" s="16"/>
      <c r="AFL20" s="16"/>
      <c r="AFM20" s="16"/>
      <c r="AFN20" s="16"/>
      <c r="AFO20" s="16"/>
      <c r="AFP20" s="16"/>
      <c r="AFQ20" s="16"/>
      <c r="AFR20" s="16"/>
      <c r="AFS20" s="16"/>
      <c r="AFT20" s="16"/>
      <c r="AFU20" s="16"/>
      <c r="AFV20" s="16"/>
      <c r="AFW20" s="16"/>
      <c r="AFX20" s="16"/>
      <c r="AFY20" s="16"/>
      <c r="AFZ20" s="16"/>
      <c r="AGA20" s="16"/>
      <c r="AGB20" s="16"/>
      <c r="AGC20" s="16"/>
      <c r="AGD20" s="16"/>
      <c r="AGE20" s="16"/>
      <c r="AGF20" s="16"/>
      <c r="AGG20" s="16"/>
      <c r="AGH20" s="16"/>
      <c r="AGI20" s="16"/>
      <c r="AGJ20" s="16"/>
      <c r="AGK20" s="16"/>
      <c r="AGL20" s="16"/>
      <c r="AGM20" s="16"/>
      <c r="AGN20" s="16"/>
      <c r="AGO20" s="16"/>
      <c r="AGP20" s="16"/>
      <c r="AGQ20" s="16"/>
      <c r="AGR20" s="16"/>
      <c r="AGS20" s="16"/>
      <c r="AGT20" s="16"/>
      <c r="AGU20" s="16"/>
      <c r="AGV20" s="16"/>
      <c r="AGW20" s="16"/>
      <c r="AGX20" s="16"/>
      <c r="AGY20" s="16"/>
      <c r="AGZ20" s="16"/>
      <c r="AHA20" s="16"/>
      <c r="AHB20" s="16"/>
      <c r="AHC20" s="16"/>
      <c r="AHD20" s="16"/>
      <c r="AHE20" s="16"/>
      <c r="AHF20" s="16"/>
      <c r="AHG20" s="16"/>
      <c r="AHH20" s="16"/>
      <c r="AHI20" s="16"/>
      <c r="AHJ20" s="16"/>
      <c r="AHK20" s="16"/>
      <c r="AHL20" s="16"/>
      <c r="AHM20" s="16"/>
      <c r="AHN20" s="16"/>
      <c r="AHO20" s="16"/>
      <c r="AHP20" s="16"/>
      <c r="AHQ20" s="16"/>
      <c r="AHR20" s="16"/>
      <c r="AHS20" s="16"/>
      <c r="AHT20" s="16"/>
      <c r="AHU20" s="16"/>
      <c r="AHV20" s="16"/>
      <c r="AHW20" s="16"/>
      <c r="AHX20" s="16"/>
      <c r="AHY20" s="16"/>
      <c r="AHZ20" s="16"/>
      <c r="AIA20" s="16"/>
      <c r="AIB20" s="16"/>
      <c r="AIC20" s="16"/>
      <c r="AID20" s="16"/>
      <c r="AIE20" s="16"/>
      <c r="AIF20" s="16"/>
      <c r="AIG20" s="16"/>
      <c r="AIH20" s="16"/>
      <c r="AII20" s="16"/>
      <c r="AIJ20" s="16"/>
      <c r="AIK20" s="16"/>
      <c r="AIL20" s="16"/>
      <c r="AIM20" s="16"/>
      <c r="AIN20" s="16"/>
      <c r="AIO20" s="16"/>
      <c r="AIP20" s="16"/>
      <c r="AIQ20" s="16"/>
      <c r="AIR20" s="16"/>
      <c r="AIS20" s="16"/>
      <c r="AIT20" s="16"/>
      <c r="AIU20" s="16"/>
      <c r="AIV20" s="16"/>
      <c r="AIW20" s="16"/>
      <c r="AIX20" s="16"/>
      <c r="AIY20" s="16"/>
      <c r="AIZ20" s="16"/>
      <c r="AJA20" s="16"/>
      <c r="AJB20" s="16"/>
      <c r="AJC20" s="16"/>
      <c r="AJD20" s="16"/>
      <c r="AJE20" s="16"/>
      <c r="AJF20" s="16"/>
      <c r="AJG20" s="16"/>
      <c r="AJH20" s="16"/>
      <c r="AJI20" s="16"/>
      <c r="AJJ20" s="16"/>
      <c r="AJK20" s="16"/>
      <c r="AJL20" s="16"/>
      <c r="AJM20" s="16"/>
      <c r="AJN20" s="16"/>
      <c r="AJO20" s="16"/>
      <c r="AJP20" s="16"/>
      <c r="AJQ20" s="16"/>
      <c r="AJR20" s="16"/>
      <c r="AJS20" s="16"/>
      <c r="AJT20" s="16"/>
      <c r="AJU20" s="16"/>
      <c r="AJV20" s="16"/>
      <c r="AJW20" s="16"/>
      <c r="AJX20" s="16"/>
      <c r="AJY20" s="16"/>
      <c r="AJZ20" s="16"/>
      <c r="AKA20" s="16"/>
      <c r="AKB20" s="16"/>
      <c r="AKC20" s="16"/>
      <c r="AKD20" s="16"/>
      <c r="AKE20" s="16"/>
      <c r="AKF20" s="16"/>
      <c r="AKG20" s="16"/>
      <c r="AKH20" s="16"/>
      <c r="AKI20" s="16"/>
      <c r="AKJ20" s="16"/>
      <c r="AKK20" s="16"/>
      <c r="AKL20" s="16"/>
      <c r="AKM20" s="16"/>
      <c r="AKN20" s="16"/>
      <c r="AKO20" s="16"/>
      <c r="AKP20" s="16"/>
      <c r="AKQ20" s="16"/>
      <c r="AKR20" s="16"/>
      <c r="AKS20" s="16"/>
      <c r="AKT20" s="16"/>
      <c r="AKU20" s="16"/>
      <c r="AKV20" s="16"/>
      <c r="AKW20" s="16"/>
      <c r="AKX20" s="16"/>
      <c r="AKY20" s="16"/>
      <c r="AKZ20" s="16"/>
      <c r="ALA20" s="16"/>
      <c r="ALB20" s="16"/>
      <c r="ALC20" s="16"/>
      <c r="ALD20" s="16"/>
      <c r="ALE20" s="16"/>
      <c r="ALF20" s="16"/>
      <c r="ALG20" s="16"/>
      <c r="ALH20" s="16"/>
      <c r="ALI20" s="16"/>
      <c r="ALJ20" s="16"/>
      <c r="ALK20" s="16"/>
      <c r="ALL20" s="16"/>
      <c r="ALM20" s="16"/>
      <c r="ALN20" s="16"/>
      <c r="ALO20" s="16"/>
      <c r="ALP20" s="16"/>
      <c r="ALQ20" s="16"/>
      <c r="ALR20" s="16"/>
      <c r="ALS20" s="16"/>
      <c r="ALT20" s="16"/>
      <c r="ALU20" s="16"/>
      <c r="ALV20" s="16"/>
      <c r="ALW20" s="16"/>
      <c r="ALX20" s="16"/>
      <c r="ALY20" s="16"/>
      <c r="ALZ20" s="16"/>
      <c r="AMA20" s="16"/>
      <c r="AMB20" s="16"/>
      <c r="AMC20" s="16"/>
      <c r="AMD20" s="16"/>
    </row>
    <row r="21" customFormat="false" ht="15" hidden="false" customHeight="true" outlineLevel="0" collapsed="false">
      <c r="B21" s="125" t="str">
        <f aca="false">'Base Pato Branco'!B9</f>
        <v>APS FRANCISCO BELTRÃO</v>
      </c>
      <c r="C21" s="276" t="n">
        <f aca="false">VLOOKUP(B21,Unidades!$D$5:$G$28,4,)</f>
        <v>0.05</v>
      </c>
      <c r="D21" s="277" t="n">
        <f aca="false">'Base Pato Branco'!AD9*12+'Base Pato Branco'!AE9*4+'Base Pato Branco'!AF9*2+'Base Pato Branco'!AG9</f>
        <v>15822.9051349789</v>
      </c>
      <c r="E21" s="277" t="n">
        <f aca="false">'Base Pato Branco'!AK9*12+'Base Pato Branco'!AL9*4+'Base Pato Branco'!AM9*2+'Base Pato Branco'!AN9</f>
        <v>19974.8354423974</v>
      </c>
    </row>
    <row r="22" customFormat="false" ht="15" hidden="false" customHeight="true" outlineLevel="0" collapsed="false">
      <c r="B22" s="125" t="str">
        <f aca="false">'Base Pato Branco'!B10</f>
        <v>APS MANGUEIRINHA</v>
      </c>
      <c r="C22" s="276" t="n">
        <f aca="false">VLOOKUP(B22,Unidades!$D$5:$G$28,4,)</f>
        <v>0.03</v>
      </c>
      <c r="D22" s="277" t="n">
        <f aca="false">'Base Pato Branco'!AD10*12+'Base Pato Branco'!AE10*4+'Base Pato Branco'!AF10*2+'Base Pato Branco'!AG10</f>
        <v>9269.41624839869</v>
      </c>
      <c r="E22" s="277" t="n">
        <f aca="false">'Base Pato Branco'!AK10*12+'Base Pato Branco'!AL10*4+'Base Pato Branco'!AM10*2+'Base Pato Branco'!AN10</f>
        <v>11451.4368332717</v>
      </c>
    </row>
    <row r="23" customFormat="false" ht="15" hidden="false" customHeight="true" outlineLevel="0" collapsed="false">
      <c r="B23" s="125" t="str">
        <f aca="false">'Base Pato Branco'!B11</f>
        <v>APS PALMAS</v>
      </c>
      <c r="C23" s="276" t="n">
        <f aca="false">VLOOKUP(B23,Unidades!$D$5:$G$28,4,)</f>
        <v>0.03</v>
      </c>
      <c r="D23" s="277" t="n">
        <f aca="false">'Base Pato Branco'!AD11*12+'Base Pato Branco'!AE11*4+'Base Pato Branco'!AF11*2+'Base Pato Branco'!AG11</f>
        <v>11428.0322483987</v>
      </c>
      <c r="E23" s="277" t="n">
        <f aca="false">'Base Pato Branco'!AK11*12+'Base Pato Branco'!AL11*4+'Base Pato Branco'!AM11*2+'Base Pato Branco'!AN11</f>
        <v>14118.1910396717</v>
      </c>
    </row>
    <row r="24" customFormat="false" ht="15" hidden="false" customHeight="true" outlineLevel="0" collapsed="false">
      <c r="B24" s="125" t="str">
        <f aca="false">'Base Pato Branco'!B12</f>
        <v>APS PATO BRANCO</v>
      </c>
      <c r="C24" s="276" t="n">
        <f aca="false">VLOOKUP(B24,Unidades!$D$5:$G$28,4,)</f>
        <v>0.02</v>
      </c>
      <c r="D24" s="277" t="n">
        <f aca="false">'Base Pato Branco'!AD12*12+'Base Pato Branco'!AE12*4+'Base Pato Branco'!AF12*2+'Base Pato Branco'!AG12</f>
        <v>12462.2578134666</v>
      </c>
      <c r="E24" s="277" t="n">
        <f aca="false">'Base Pato Branco'!AK12*12+'Base Pato Branco'!AL12*4+'Base Pato Branco'!AM12*2+'Base Pato Branco'!AN12</f>
        <v>15232.6177254003</v>
      </c>
    </row>
    <row r="25" customFormat="false" ht="15" hidden="false" customHeight="true" outlineLevel="0" collapsed="false">
      <c r="B25" s="125" t="str">
        <f aca="false">'Base Pato Branco'!B13</f>
        <v>APS REALEZA</v>
      </c>
      <c r="C25" s="276" t="n">
        <f aca="false">VLOOKUP(B25,Unidades!$D$5:$G$28,4,)</f>
        <v>0.03</v>
      </c>
      <c r="D25" s="277" t="n">
        <f aca="false">'Base Pato Branco'!AD13*12+'Base Pato Branco'!AE13*4+'Base Pato Branco'!AF13*2+'Base Pato Branco'!AG13</f>
        <v>10475.0262483987</v>
      </c>
      <c r="E25" s="277" t="n">
        <f aca="false">'Base Pato Branco'!AK13*12+'Base Pato Branco'!AL13*4+'Base Pato Branco'!AM13*2+'Base Pato Branco'!AN13</f>
        <v>12940.8474272717</v>
      </c>
    </row>
    <row r="26" customFormat="false" ht="15" hidden="false" customHeight="true" outlineLevel="0" collapsed="false">
      <c r="B26" s="125" t="str">
        <f aca="false">'Base Pato Branco'!B14</f>
        <v>APS STO. ANTÔNIO DO SUDOESTE</v>
      </c>
      <c r="C26" s="276" t="n">
        <f aca="false">VLOOKUP(B26,Unidades!$D$5:$G$28,4,)</f>
        <v>0.03</v>
      </c>
      <c r="D26" s="277" t="n">
        <f aca="false">'Base Pato Branco'!AD14*12+'Base Pato Branco'!AE14*4+'Base Pato Branco'!AF14*2+'Base Pato Branco'!AG14</f>
        <v>10830.9682483987</v>
      </c>
      <c r="E26" s="277" t="n">
        <f aca="false">'Base Pato Branco'!AK14*12+'Base Pato Branco'!AL14*4+'Base Pato Branco'!AM14*2+'Base Pato Branco'!AN14</f>
        <v>13380.5781740717</v>
      </c>
    </row>
    <row r="27" customFormat="false" ht="15" hidden="false" customHeight="true" outlineLevel="0" collapsed="false">
      <c r="B27" s="125" t="str">
        <f aca="false">'Base Pato Branco'!B15</f>
        <v>APS DIONÍSIO CERQUEIRA</v>
      </c>
      <c r="C27" s="276" t="n">
        <f aca="false">VLOOKUP(B27,Unidades!$D$5:$G$28,4,)</f>
        <v>0.03</v>
      </c>
      <c r="D27" s="277" t="n">
        <f aca="false">'Base Pato Branco'!AD15*12+'Base Pato Branco'!AE15*4+'Base Pato Branco'!AF15*2+'Base Pato Branco'!AG15</f>
        <v>10830.9682483987</v>
      </c>
      <c r="E27" s="277" t="n">
        <f aca="false">'Base Pato Branco'!AK15*12+'Base Pato Branco'!AL15*4+'Base Pato Branco'!AM15*2+'Base Pato Branco'!AN15</f>
        <v>13380.5781740717</v>
      </c>
    </row>
    <row r="28" customFormat="false" ht="15" hidden="false" customHeight="true" outlineLevel="0" collapsed="false">
      <c r="B28" s="125" t="str">
        <f aca="false">'Base Pato Branco'!B16</f>
        <v>APS SÃO L. DO OESTE</v>
      </c>
      <c r="C28" s="276" t="n">
        <f aca="false">VLOOKUP(B28,Unidades!$D$5:$G$28,4,)</f>
        <v>0.02</v>
      </c>
      <c r="D28" s="277" t="n">
        <f aca="false">'Base Pato Branco'!AD16*12+'Base Pato Branco'!AE16*4+'Base Pato Branco'!AF16*2+'Base Pato Branco'!AG16</f>
        <v>11243.8110521793</v>
      </c>
      <c r="E28" s="277" t="n">
        <f aca="false">'Base Pato Branco'!AK16*12+'Base Pato Branco'!AL16*4+'Base Pato Branco'!AM16*2+'Base Pato Branco'!AN16</f>
        <v>13743.3102490788</v>
      </c>
    </row>
    <row r="29" customFormat="false" ht="15" hidden="false" customHeight="false" outlineLevel="0" collapsed="false">
      <c r="B29" s="273" t="s">
        <v>101</v>
      </c>
      <c r="C29" s="273"/>
      <c r="D29" s="282" t="n">
        <f aca="false">SUM(D5:D28)</f>
        <v>330647.197</v>
      </c>
      <c r="E29" s="282" t="n">
        <f aca="false">SUM(E5:E28)</f>
        <v>407685.091126072</v>
      </c>
    </row>
  </sheetData>
  <mergeCells count="2">
    <mergeCell ref="B2:M2"/>
    <mergeCell ref="B29:C29"/>
  </mergeCells>
  <printOptions headings="false" gridLines="false" gridLinesSet="true" horizontalCentered="true" verticalCentered="false"/>
  <pageMargins left="0.150694444444444" right="0.0729166666666667" top="0.1375" bottom="0.0826388888888889" header="0.511811023622047" footer="0.511811023622047"/>
  <pageSetup paperSize="9" scale="100" fitToWidth="1" fitToHeight="1" pageOrder="overThenDown" orientation="portrait" blackAndWhite="false" draft="false" cellComments="none" firstPageNumber="1" useFirstPageNumber="tru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FFFFFF"/>
    <pageSetUpPr fitToPage="false"/>
  </sheetPr>
  <dimension ref="A1:AME40"/>
  <sheetViews>
    <sheetView showFormulas="false" showGridLines="false" showRowColHeaders="true" showZeros="true" rightToLeft="false" tabSelected="false" showOutlineSymbols="true" defaultGridColor="true" view="normal" topLeftCell="A7" colorId="64" zoomScale="90" zoomScaleNormal="90" zoomScalePageLayoutView="100" workbookViewId="0">
      <selection pane="topLeft" activeCell="K25" activeCellId="0" sqref="K25"/>
    </sheetView>
  </sheetViews>
  <sheetFormatPr defaultColWidth="8.41015625" defaultRowHeight="14.25" zeroHeight="false" outlineLevelRow="0" outlineLevelCol="0"/>
  <cols>
    <col collapsed="false" customWidth="true" hidden="false" outlineLevel="0" max="1" min="1" style="1" width="5.62"/>
    <col collapsed="false" customWidth="true" hidden="false" outlineLevel="0" max="2" min="2" style="16" width="33.38"/>
    <col collapsed="false" customWidth="true" hidden="false" outlineLevel="0" max="4" min="3" style="16" width="14.75"/>
    <col collapsed="false" customWidth="true" hidden="false" outlineLevel="0" max="5" min="5" style="16" width="15.62"/>
    <col collapsed="false" customWidth="true" hidden="false" outlineLevel="0" max="6" min="6" style="16" width="13.76"/>
    <col collapsed="false" customWidth="true" hidden="false" outlineLevel="0" max="7" min="7" style="16" width="14.87"/>
    <col collapsed="false" customWidth="true" hidden="false" outlineLevel="0" max="8" min="8" style="16" width="14.38"/>
    <col collapsed="false" customWidth="true" hidden="false" outlineLevel="0" max="9" min="9" style="17" width="14"/>
    <col collapsed="false" customWidth="true" hidden="false" outlineLevel="0" max="10" min="10" style="16" width="14.87"/>
    <col collapsed="false" customWidth="true" hidden="false" outlineLevel="0" max="249" min="11" style="16" width="10.62"/>
    <col collapsed="false" customWidth="true" hidden="false" outlineLevel="0" max="1019" min="250" style="1" width="10.5"/>
  </cols>
  <sheetData>
    <row r="1" customFormat="false" ht="15" hidden="false" customHeight="true" outlineLevel="0" collapsed="false"/>
    <row r="2" customFormat="false" ht="24.75" hidden="false" customHeight="true" outlineLevel="0" collapsed="false">
      <c r="B2" s="18" t="str">
        <f aca="false">"PLANILHA RESUMO "&amp;'Valor da Contratação'!B7&amp;""</f>
        <v>PLANILHA RESUMO POLO VI</v>
      </c>
      <c r="C2" s="18"/>
      <c r="D2" s="18"/>
      <c r="E2" s="18"/>
      <c r="F2" s="18"/>
      <c r="G2" s="18"/>
      <c r="H2" s="18"/>
      <c r="I2" s="18"/>
      <c r="J2" s="19"/>
    </row>
    <row r="3" customFormat="false" ht="15" hidden="false" customHeight="true" outlineLevel="0" collapsed="false">
      <c r="B3" s="2"/>
      <c r="H3" s="2"/>
      <c r="I3" s="20"/>
    </row>
    <row r="4" customFormat="false" ht="46.5" hidden="false" customHeight="true" outlineLevel="0" collapsed="false">
      <c r="B4" s="21" t="s">
        <v>13</v>
      </c>
      <c r="C4" s="21" t="s">
        <v>14</v>
      </c>
      <c r="D4" s="21" t="s">
        <v>15</v>
      </c>
      <c r="E4" s="21" t="s">
        <v>16</v>
      </c>
      <c r="F4" s="21" t="s">
        <v>17</v>
      </c>
      <c r="G4" s="21" t="s">
        <v>18</v>
      </c>
      <c r="H4" s="21" t="s">
        <v>19</v>
      </c>
      <c r="I4" s="21" t="s">
        <v>20</v>
      </c>
    </row>
    <row r="5" customFormat="false" ht="19.5" hidden="false" customHeight="true" outlineLevel="0" collapsed="false">
      <c r="B5" s="22" t="s">
        <v>21</v>
      </c>
      <c r="C5" s="23" t="n">
        <f aca="false">'Base Chapecó'!C21</f>
        <v>19116.4</v>
      </c>
      <c r="D5" s="24" t="n">
        <f aca="false">'Base Chapecó'!AT10</f>
        <v>22401.6781301322</v>
      </c>
      <c r="E5" s="24" t="n">
        <f aca="false">D5*12</f>
        <v>268820.137561587</v>
      </c>
      <c r="F5" s="24" t="n">
        <f aca="false">'Base Chapecó'!AT12</f>
        <v>67205.0343903967</v>
      </c>
      <c r="G5" s="24" t="n">
        <f aca="false">F5*12</f>
        <v>806460.412684761</v>
      </c>
      <c r="H5" s="24" t="n">
        <f aca="false">D5+F5</f>
        <v>89606.712520529</v>
      </c>
      <c r="I5" s="24" t="n">
        <f aca="false">H5*12</f>
        <v>1075280.55024635</v>
      </c>
    </row>
    <row r="6" customFormat="false" ht="19.5" hidden="false" customHeight="true" outlineLevel="0" collapsed="false">
      <c r="B6" s="22" t="s">
        <v>22</v>
      </c>
      <c r="C6" s="23" t="n">
        <f aca="false">'Base Pato Branco'!C17</f>
        <v>7311.3</v>
      </c>
      <c r="D6" s="24" t="n">
        <f aca="false">'Base Pato Branco'!AT10</f>
        <v>11572.0794637071</v>
      </c>
      <c r="E6" s="24" t="n">
        <f aca="false">D6*12</f>
        <v>138864.953564485</v>
      </c>
      <c r="F6" s="24" t="n">
        <f aca="false">'Base Pato Branco'!AT12</f>
        <v>34716.2383911214</v>
      </c>
      <c r="G6" s="24" t="n">
        <f aca="false">F6*12</f>
        <v>416594.860693456</v>
      </c>
      <c r="H6" s="24" t="n">
        <f aca="false">D6+F6</f>
        <v>46288.3178548285</v>
      </c>
      <c r="I6" s="24" t="n">
        <f aca="false">H6*12</f>
        <v>555459.814257942</v>
      </c>
    </row>
    <row r="7" customFormat="false" ht="19.5" hidden="false" customHeight="true" outlineLevel="0" collapsed="false">
      <c r="B7" s="25" t="str">
        <f aca="false">"TOTAL "&amp;'Valor da Contratação'!B7&amp;""</f>
        <v>TOTAL POLO VI</v>
      </c>
      <c r="C7" s="26" t="n">
        <f aca="false">SUM(C5:C6)</f>
        <v>26427.7</v>
      </c>
      <c r="D7" s="27" t="n">
        <f aca="false">SUM(D5:D6)</f>
        <v>33973.7575938394</v>
      </c>
      <c r="E7" s="27" t="n">
        <f aca="false">SUM(E5:E6)</f>
        <v>407685.091126072</v>
      </c>
      <c r="F7" s="27" t="n">
        <f aca="false">SUM(F5:F6)</f>
        <v>101921.272781518</v>
      </c>
      <c r="G7" s="27" t="n">
        <f aca="false">SUM(G5:G6)</f>
        <v>1223055.27337822</v>
      </c>
      <c r="H7" s="27" t="n">
        <f aca="false">SUM(H5:H6)</f>
        <v>135895.030375357</v>
      </c>
      <c r="I7" s="27" t="n">
        <f aca="false">SUM(I5:I6)</f>
        <v>1630740.36450429</v>
      </c>
    </row>
    <row r="8" customFormat="false" ht="24.75" hidden="false" customHeight="true" outlineLevel="0" collapsed="false">
      <c r="B8" s="2"/>
      <c r="C8" s="2"/>
      <c r="D8" s="2"/>
      <c r="E8" s="2"/>
      <c r="F8" s="2"/>
      <c r="G8" s="28"/>
      <c r="H8" s="2"/>
      <c r="I8" s="20"/>
    </row>
    <row r="9" s="29" customFormat="true" ht="27" hidden="false" customHeight="true" outlineLevel="0" collapsed="false">
      <c r="B9" s="30" t="str">
        <f aca="false">"BASE "&amp;B5</f>
        <v>BASE CHAPECÓ</v>
      </c>
      <c r="C9" s="31" t="s">
        <v>23</v>
      </c>
      <c r="D9" s="31"/>
      <c r="E9" s="31"/>
      <c r="F9" s="31" t="s">
        <v>24</v>
      </c>
      <c r="G9" s="31"/>
      <c r="H9" s="31"/>
      <c r="I9" s="32" t="s">
        <v>25</v>
      </c>
      <c r="IP9" s="33"/>
    </row>
    <row r="10" s="29" customFormat="true" ht="22.5" hidden="false" customHeight="true" outlineLevel="0" collapsed="false">
      <c r="B10" s="30"/>
      <c r="C10" s="34" t="s">
        <v>26</v>
      </c>
      <c r="D10" s="34" t="s">
        <v>27</v>
      </c>
      <c r="E10" s="34" t="s">
        <v>28</v>
      </c>
      <c r="F10" s="35" t="s">
        <v>26</v>
      </c>
      <c r="G10" s="35" t="s">
        <v>27</v>
      </c>
      <c r="H10" s="35" t="s">
        <v>28</v>
      </c>
      <c r="I10" s="35" t="s">
        <v>29</v>
      </c>
      <c r="IP10" s="33"/>
    </row>
    <row r="11" s="29" customFormat="true" ht="16.5" hidden="false" customHeight="true" outlineLevel="0" collapsed="false">
      <c r="A11" s="1"/>
      <c r="B11" s="22" t="str">
        <f aca="false">'Base Chapecó'!B7</f>
        <v>APS CAÇADOR</v>
      </c>
      <c r="C11" s="24" t="n">
        <f aca="false">'Base Chapecó'!AO7</f>
        <v>2405.18459233678</v>
      </c>
      <c r="D11" s="24" t="n">
        <f aca="false">C11*3</f>
        <v>7215.55377701035</v>
      </c>
      <c r="E11" s="24" t="n">
        <f aca="false">C11+D11</f>
        <v>9620.73836934714</v>
      </c>
      <c r="F11" s="24" t="n">
        <f aca="false">C11*12</f>
        <v>28862.2151080414</v>
      </c>
      <c r="G11" s="24" t="n">
        <f aca="false">F11*3</f>
        <v>86586.6453241242</v>
      </c>
      <c r="H11" s="24" t="n">
        <f aca="false">F11+G11</f>
        <v>115448.860432166</v>
      </c>
      <c r="I11" s="36" t="n">
        <f aca="false">F11/$E$7</f>
        <v>0.0707953656787417</v>
      </c>
      <c r="J11" s="16"/>
      <c r="K11" s="16"/>
      <c r="L11" s="16"/>
      <c r="M11" s="16"/>
      <c r="N11" s="16"/>
      <c r="O11" s="16"/>
      <c r="P11" s="16"/>
      <c r="Q11" s="16"/>
      <c r="R11" s="16"/>
      <c r="S11" s="16"/>
      <c r="T11" s="16"/>
      <c r="U11" s="16"/>
      <c r="V11" s="16"/>
      <c r="W11" s="16"/>
      <c r="X11" s="16"/>
      <c r="Y11" s="16"/>
      <c r="Z11" s="16"/>
      <c r="AA11" s="16"/>
      <c r="AB11" s="16"/>
      <c r="AC11" s="16"/>
      <c r="AD11" s="16"/>
      <c r="AE11" s="16"/>
      <c r="AF11" s="16"/>
      <c r="AG11" s="16"/>
      <c r="AH11" s="16"/>
      <c r="AI11" s="16"/>
      <c r="AJ11" s="16"/>
      <c r="AK11" s="16"/>
      <c r="AL11" s="16"/>
      <c r="AM11" s="16"/>
      <c r="AN11" s="16"/>
      <c r="AO11" s="16"/>
      <c r="AP11" s="16"/>
      <c r="AQ11" s="16"/>
      <c r="AR11" s="16"/>
      <c r="AS11" s="16"/>
      <c r="AT11" s="16"/>
      <c r="AU11" s="16"/>
      <c r="AV11" s="16"/>
      <c r="AW11" s="16"/>
      <c r="AX11" s="16"/>
      <c r="AY11" s="16"/>
      <c r="AZ11" s="16"/>
      <c r="BA11" s="16"/>
      <c r="BB11" s="16"/>
      <c r="BC11" s="16"/>
      <c r="BD11" s="16"/>
      <c r="BE11" s="16"/>
      <c r="BF11" s="16"/>
      <c r="BG11" s="16"/>
      <c r="BH11" s="16"/>
      <c r="BI11" s="16"/>
      <c r="BJ11" s="16"/>
      <c r="BK11" s="16"/>
      <c r="BL11" s="16"/>
      <c r="BM11" s="16"/>
      <c r="BN11" s="16"/>
      <c r="BO11" s="16"/>
      <c r="BP11" s="16"/>
      <c r="BQ11" s="16"/>
      <c r="BR11" s="16"/>
      <c r="BS11" s="16"/>
      <c r="BT11" s="16"/>
      <c r="BU11" s="16"/>
      <c r="BV11" s="16"/>
      <c r="BW11" s="16"/>
      <c r="BX11" s="16"/>
      <c r="BY11" s="16"/>
      <c r="BZ11" s="16"/>
      <c r="CA11" s="16"/>
      <c r="CB11" s="16"/>
      <c r="CC11" s="16"/>
      <c r="CD11" s="16"/>
      <c r="CE11" s="16"/>
      <c r="CF11" s="16"/>
      <c r="CG11" s="16"/>
      <c r="CH11" s="16"/>
      <c r="CI11" s="16"/>
      <c r="CJ11" s="16"/>
      <c r="CK11" s="16"/>
      <c r="CL11" s="16"/>
      <c r="CM11" s="16"/>
      <c r="CN11" s="16"/>
      <c r="CO11" s="16"/>
      <c r="CP11" s="16"/>
      <c r="CQ11" s="16"/>
      <c r="CR11" s="16"/>
      <c r="CS11" s="16"/>
      <c r="CT11" s="16"/>
      <c r="CU11" s="16"/>
      <c r="CV11" s="16"/>
      <c r="CW11" s="16"/>
      <c r="CX11" s="16"/>
      <c r="CY11" s="16"/>
      <c r="CZ11" s="16"/>
      <c r="DA11" s="16"/>
      <c r="DB11" s="16"/>
      <c r="DC11" s="16"/>
      <c r="DD11" s="16"/>
      <c r="DE11" s="16"/>
      <c r="DF11" s="16"/>
      <c r="DG11" s="16"/>
      <c r="DH11" s="16"/>
      <c r="DI11" s="16"/>
      <c r="DJ11" s="16"/>
      <c r="DK11" s="16"/>
      <c r="DL11" s="16"/>
      <c r="DM11" s="16"/>
      <c r="DN11" s="16"/>
      <c r="DO11" s="16"/>
      <c r="DP11" s="16"/>
      <c r="DQ11" s="16"/>
      <c r="DR11" s="16"/>
      <c r="DS11" s="16"/>
      <c r="DT11" s="16"/>
      <c r="DU11" s="16"/>
      <c r="DV11" s="16"/>
      <c r="DW11" s="16"/>
      <c r="DX11" s="16"/>
      <c r="DY11" s="16"/>
      <c r="DZ11" s="16"/>
      <c r="EA11" s="16"/>
      <c r="EB11" s="16"/>
      <c r="EC11" s="16"/>
      <c r="ED11" s="16"/>
      <c r="EE11" s="16"/>
      <c r="EF11" s="16"/>
      <c r="EG11" s="16"/>
      <c r="EH11" s="16"/>
      <c r="EI11" s="16"/>
      <c r="EJ11" s="16"/>
      <c r="EK11" s="16"/>
      <c r="EL11" s="16"/>
      <c r="EM11" s="16"/>
      <c r="EN11" s="16"/>
      <c r="EO11" s="16"/>
      <c r="EP11" s="16"/>
      <c r="EQ11" s="16"/>
      <c r="ER11" s="16"/>
      <c r="ES11" s="16"/>
      <c r="ET11" s="16"/>
      <c r="EU11" s="16"/>
      <c r="EV11" s="16"/>
      <c r="EW11" s="16"/>
      <c r="EX11" s="16"/>
      <c r="EY11" s="16"/>
      <c r="EZ11" s="16"/>
      <c r="FA11" s="16"/>
      <c r="FB11" s="16"/>
      <c r="FC11" s="16"/>
      <c r="FD11" s="16"/>
      <c r="FE11" s="16"/>
      <c r="FF11" s="16"/>
      <c r="FG11" s="16"/>
      <c r="FH11" s="16"/>
      <c r="FI11" s="16"/>
      <c r="FJ11" s="16"/>
      <c r="FK11" s="16"/>
      <c r="FL11" s="16"/>
      <c r="FM11" s="16"/>
      <c r="FN11" s="16"/>
      <c r="FO11" s="16"/>
      <c r="FP11" s="16"/>
      <c r="FQ11" s="16"/>
      <c r="FR11" s="16"/>
      <c r="FS11" s="16"/>
      <c r="FT11" s="16"/>
      <c r="FU11" s="16"/>
      <c r="FV11" s="16"/>
      <c r="FW11" s="16"/>
      <c r="FX11" s="16"/>
      <c r="FY11" s="16"/>
      <c r="FZ11" s="16"/>
      <c r="GA11" s="16"/>
      <c r="GB11" s="16"/>
      <c r="GC11" s="16"/>
      <c r="GD11" s="16"/>
      <c r="GE11" s="16"/>
      <c r="GF11" s="16"/>
      <c r="GG11" s="16"/>
      <c r="GH11" s="16"/>
      <c r="GI11" s="16"/>
      <c r="GJ11" s="16"/>
      <c r="GK11" s="16"/>
      <c r="GL11" s="16"/>
      <c r="GM11" s="16"/>
      <c r="GN11" s="16"/>
      <c r="GO11" s="16"/>
      <c r="GP11" s="16"/>
      <c r="GQ11" s="16"/>
      <c r="GR11" s="16"/>
      <c r="GS11" s="16"/>
      <c r="GT11" s="16"/>
      <c r="GU11" s="16"/>
      <c r="GV11" s="16"/>
      <c r="GW11" s="16"/>
      <c r="GX11" s="16"/>
      <c r="GY11" s="16"/>
      <c r="GZ11" s="16"/>
      <c r="HA11" s="16"/>
      <c r="HB11" s="16"/>
      <c r="HC11" s="16"/>
      <c r="HD11" s="16"/>
      <c r="HE11" s="16"/>
      <c r="HF11" s="16"/>
      <c r="HG11" s="16"/>
      <c r="HH11" s="16"/>
      <c r="HI11" s="16"/>
      <c r="HJ11" s="16"/>
      <c r="HK11" s="16"/>
      <c r="HL11" s="16"/>
      <c r="HM11" s="16"/>
      <c r="HN11" s="16"/>
      <c r="HO11" s="16"/>
      <c r="HP11" s="16"/>
      <c r="HQ11" s="16"/>
      <c r="HR11" s="16"/>
      <c r="HS11" s="16"/>
      <c r="HT11" s="16"/>
      <c r="HU11" s="16"/>
      <c r="HV11" s="16"/>
      <c r="HW11" s="16"/>
      <c r="HX11" s="16"/>
      <c r="HY11" s="16"/>
      <c r="HZ11" s="16"/>
      <c r="IA11" s="16"/>
      <c r="IB11" s="16"/>
      <c r="IC11" s="16"/>
      <c r="ID11" s="16"/>
      <c r="IE11" s="16"/>
      <c r="IF11" s="16"/>
      <c r="IG11" s="16"/>
      <c r="IH11" s="16"/>
      <c r="II11" s="16"/>
      <c r="IJ11" s="16"/>
      <c r="IK11" s="16"/>
      <c r="IL11" s="16"/>
      <c r="IM11" s="16"/>
      <c r="IN11" s="16"/>
      <c r="IO11" s="16"/>
      <c r="IP11" s="1"/>
      <c r="IQ11" s="1"/>
      <c r="IR11" s="1"/>
      <c r="IS11" s="1"/>
      <c r="IT11" s="1"/>
      <c r="IU11" s="1"/>
      <c r="IV11" s="1"/>
      <c r="IW11" s="1"/>
      <c r="IX11" s="1"/>
      <c r="IY11" s="1"/>
      <c r="IZ11" s="1"/>
      <c r="JA11" s="1"/>
      <c r="JB11" s="1"/>
      <c r="JC11" s="1"/>
      <c r="JD11" s="1"/>
      <c r="JE11" s="1"/>
      <c r="JF11" s="1"/>
      <c r="JG11" s="1"/>
      <c r="JH11" s="1"/>
      <c r="JI11" s="1"/>
      <c r="JJ11" s="1"/>
      <c r="JK11" s="1"/>
      <c r="JL11" s="1"/>
      <c r="JM11" s="1"/>
      <c r="JN11" s="1"/>
      <c r="JO11" s="1"/>
      <c r="JP11" s="1"/>
      <c r="JQ11" s="1"/>
      <c r="JR11" s="1"/>
      <c r="JS11" s="1"/>
      <c r="JT11" s="1"/>
      <c r="JU11" s="1"/>
      <c r="JV11" s="1"/>
      <c r="JW11" s="1"/>
      <c r="JX11" s="1"/>
      <c r="JY11" s="1"/>
      <c r="JZ11" s="1"/>
      <c r="KA11" s="1"/>
      <c r="KB11" s="1"/>
      <c r="KC11" s="1"/>
      <c r="KD11" s="1"/>
      <c r="KE11" s="1"/>
      <c r="KF11" s="1"/>
      <c r="KG11" s="1"/>
      <c r="KH11" s="1"/>
      <c r="KI11" s="1"/>
      <c r="KJ11" s="1"/>
      <c r="KK11" s="1"/>
      <c r="KL11" s="1"/>
      <c r="KM11" s="1"/>
      <c r="KN11" s="1"/>
      <c r="KO11" s="1"/>
      <c r="KP11" s="1"/>
      <c r="KQ11" s="1"/>
      <c r="KR11" s="1"/>
      <c r="KS11" s="1"/>
      <c r="KT11" s="1"/>
      <c r="KU11" s="1"/>
      <c r="KV11" s="1"/>
      <c r="KW11" s="1"/>
      <c r="KX11" s="1"/>
      <c r="KY11" s="1"/>
      <c r="KZ11" s="1"/>
      <c r="LA11" s="1"/>
      <c r="LB11" s="1"/>
      <c r="LC11" s="1"/>
      <c r="LD11" s="1"/>
      <c r="LE11" s="1"/>
      <c r="LF11" s="1"/>
      <c r="LG11" s="1"/>
      <c r="LH11" s="1"/>
      <c r="LI11" s="1"/>
      <c r="LJ11" s="1"/>
      <c r="LK11" s="1"/>
      <c r="LL11" s="1"/>
      <c r="LM11" s="1"/>
      <c r="LN11" s="1"/>
      <c r="LO11" s="1"/>
      <c r="LP11" s="1"/>
      <c r="LQ11" s="1"/>
      <c r="LR11" s="1"/>
      <c r="LS11" s="1"/>
      <c r="LT11" s="1"/>
      <c r="LU11" s="1"/>
      <c r="LV11" s="1"/>
      <c r="LW11" s="1"/>
      <c r="LX11" s="1"/>
      <c r="LY11" s="1"/>
      <c r="LZ11" s="1"/>
      <c r="MA11" s="1"/>
      <c r="MB11" s="1"/>
      <c r="MC11" s="1"/>
      <c r="MD11" s="1"/>
      <c r="ME11" s="1"/>
      <c r="MF11" s="1"/>
      <c r="MG11" s="1"/>
      <c r="MH11" s="1"/>
      <c r="MI11" s="1"/>
      <c r="MJ11" s="1"/>
      <c r="MK11" s="1"/>
      <c r="ML11" s="1"/>
      <c r="MM11" s="1"/>
      <c r="MN11" s="1"/>
      <c r="MO11" s="1"/>
      <c r="MP11" s="1"/>
      <c r="MQ11" s="1"/>
      <c r="MR11" s="1"/>
      <c r="MS11" s="1"/>
      <c r="MT11" s="1"/>
      <c r="MU11" s="1"/>
      <c r="MV11" s="1"/>
      <c r="MW11" s="1"/>
      <c r="MX11" s="1"/>
      <c r="MY11" s="1"/>
      <c r="MZ11" s="1"/>
      <c r="NA11" s="1"/>
      <c r="NB11" s="1"/>
      <c r="NC11" s="1"/>
      <c r="ND11" s="1"/>
      <c r="NE11" s="1"/>
      <c r="NF11" s="1"/>
      <c r="NG11" s="1"/>
      <c r="NH11" s="1"/>
      <c r="NI11" s="1"/>
      <c r="NJ11" s="1"/>
      <c r="NK11" s="1"/>
      <c r="NL11" s="1"/>
      <c r="NM11" s="1"/>
      <c r="NN11" s="1"/>
      <c r="NO11" s="1"/>
      <c r="NP11" s="1"/>
      <c r="NQ11" s="1"/>
      <c r="NR11" s="1"/>
      <c r="NS11" s="1"/>
      <c r="NT11" s="1"/>
      <c r="NU11" s="1"/>
      <c r="NV11" s="1"/>
      <c r="NW11" s="1"/>
      <c r="NX11" s="1"/>
      <c r="NY11" s="1"/>
      <c r="NZ11" s="1"/>
      <c r="OA11" s="1"/>
      <c r="OB11" s="1"/>
      <c r="OC11" s="1"/>
      <c r="OD11" s="1"/>
      <c r="OE11" s="1"/>
      <c r="OF11" s="1"/>
      <c r="OG11" s="1"/>
      <c r="OH11" s="1"/>
      <c r="OI11" s="1"/>
      <c r="OJ11" s="1"/>
      <c r="OK11" s="1"/>
      <c r="OL11" s="1"/>
      <c r="OM11" s="1"/>
      <c r="ON11" s="1"/>
      <c r="OO11" s="1"/>
      <c r="OP11" s="1"/>
      <c r="OQ11" s="1"/>
      <c r="OR11" s="1"/>
      <c r="OS11" s="1"/>
      <c r="OT11" s="1"/>
      <c r="OU11" s="1"/>
      <c r="OV11" s="1"/>
      <c r="OW11" s="1"/>
      <c r="OX11" s="1"/>
      <c r="OY11" s="1"/>
      <c r="OZ11" s="1"/>
      <c r="PA11" s="1"/>
      <c r="PB11" s="1"/>
      <c r="PC11" s="1"/>
      <c r="PD11" s="1"/>
      <c r="PE11" s="1"/>
      <c r="PF11" s="1"/>
      <c r="PG11" s="1"/>
      <c r="PH11" s="1"/>
      <c r="PI11" s="1"/>
      <c r="PJ11" s="1"/>
      <c r="PK11" s="1"/>
      <c r="PL11" s="1"/>
      <c r="PM11" s="1"/>
      <c r="PN11" s="1"/>
      <c r="PO11" s="1"/>
      <c r="PP11" s="1"/>
      <c r="PQ11" s="1"/>
      <c r="PR11" s="1"/>
      <c r="PS11" s="1"/>
      <c r="PT11" s="1"/>
      <c r="PU11" s="1"/>
      <c r="PV11" s="1"/>
      <c r="PW11" s="1"/>
      <c r="PX11" s="1"/>
      <c r="PY11" s="1"/>
      <c r="PZ11" s="1"/>
      <c r="QA11" s="1"/>
      <c r="QB11" s="1"/>
      <c r="QC11" s="1"/>
      <c r="QD11" s="1"/>
      <c r="QE11" s="1"/>
      <c r="QF11" s="1"/>
      <c r="QG11" s="1"/>
      <c r="QH11" s="1"/>
      <c r="QI11" s="1"/>
      <c r="QJ11" s="1"/>
      <c r="QK11" s="1"/>
      <c r="QL11" s="1"/>
      <c r="QM11" s="1"/>
      <c r="QN11" s="1"/>
      <c r="QO11" s="1"/>
      <c r="QP11" s="1"/>
      <c r="QQ11" s="1"/>
      <c r="QR11" s="1"/>
      <c r="QS11" s="1"/>
      <c r="QT11" s="1"/>
      <c r="QU11" s="1"/>
      <c r="QV11" s="1"/>
      <c r="QW11" s="1"/>
      <c r="QX11" s="1"/>
      <c r="QY11" s="1"/>
      <c r="QZ11" s="1"/>
      <c r="RA11" s="1"/>
      <c r="RB11" s="1"/>
      <c r="RC11" s="1"/>
      <c r="RD11" s="1"/>
      <c r="RE11" s="1"/>
      <c r="RF11" s="1"/>
      <c r="RG11" s="1"/>
      <c r="RH11" s="1"/>
      <c r="RI11" s="1"/>
      <c r="RJ11" s="1"/>
      <c r="RK11" s="1"/>
      <c r="RL11" s="1"/>
      <c r="RM11" s="1"/>
      <c r="RN11" s="1"/>
      <c r="RO11" s="1"/>
      <c r="RP11" s="1"/>
      <c r="RQ11" s="1"/>
      <c r="RR11" s="1"/>
      <c r="RS11" s="1"/>
      <c r="RT11" s="1"/>
      <c r="RU11" s="1"/>
      <c r="RV11" s="1"/>
      <c r="RW11" s="1"/>
      <c r="RX11" s="1"/>
      <c r="RY11" s="1"/>
      <c r="RZ11" s="1"/>
      <c r="SA11" s="1"/>
      <c r="SB11" s="1"/>
      <c r="SC11" s="1"/>
      <c r="SD11" s="1"/>
      <c r="SE11" s="1"/>
      <c r="SF11" s="1"/>
      <c r="SG11" s="1"/>
      <c r="SH11" s="1"/>
      <c r="SI11" s="1"/>
      <c r="SJ11" s="1"/>
      <c r="SK11" s="1"/>
      <c r="SL11" s="1"/>
      <c r="SM11" s="1"/>
      <c r="SN11" s="1"/>
      <c r="SO11" s="1"/>
      <c r="SP11" s="1"/>
      <c r="SQ11" s="1"/>
      <c r="SR11" s="1"/>
      <c r="SS11" s="1"/>
      <c r="ST11" s="1"/>
      <c r="SU11" s="1"/>
      <c r="SV11" s="1"/>
      <c r="SW11" s="1"/>
      <c r="SX11" s="1"/>
      <c r="SY11" s="1"/>
      <c r="SZ11" s="1"/>
      <c r="TA11" s="1"/>
      <c r="TB11" s="1"/>
      <c r="TC11" s="1"/>
      <c r="TD11" s="1"/>
      <c r="TE11" s="1"/>
      <c r="TF11" s="1"/>
      <c r="TG11" s="1"/>
      <c r="TH11" s="1"/>
      <c r="TI11" s="1"/>
      <c r="TJ11" s="1"/>
      <c r="TK11" s="1"/>
      <c r="TL11" s="1"/>
      <c r="TM11" s="1"/>
      <c r="TN11" s="1"/>
      <c r="TO11" s="1"/>
      <c r="TP11" s="1"/>
      <c r="TQ11" s="1"/>
      <c r="TR11" s="1"/>
      <c r="TS11" s="1"/>
      <c r="TT11" s="1"/>
      <c r="TU11" s="1"/>
      <c r="TV11" s="1"/>
      <c r="TW11" s="1"/>
      <c r="TX11" s="1"/>
      <c r="TY11" s="1"/>
      <c r="TZ11" s="1"/>
      <c r="UA11" s="1"/>
      <c r="UB11" s="1"/>
      <c r="UC11" s="1"/>
      <c r="UD11" s="1"/>
      <c r="UE11" s="1"/>
      <c r="UF11" s="1"/>
      <c r="UG11" s="1"/>
      <c r="UH11" s="1"/>
      <c r="UI11" s="1"/>
      <c r="UJ11" s="1"/>
      <c r="UK11" s="1"/>
      <c r="UL11" s="1"/>
      <c r="UM11" s="1"/>
      <c r="UN11" s="1"/>
      <c r="UO11" s="1"/>
      <c r="UP11" s="1"/>
      <c r="UQ11" s="1"/>
      <c r="UR11" s="1"/>
      <c r="US11" s="1"/>
      <c r="UT11" s="1"/>
      <c r="UU11" s="1"/>
      <c r="UV11" s="1"/>
      <c r="UW11" s="1"/>
      <c r="UX11" s="1"/>
      <c r="UY11" s="1"/>
      <c r="UZ11" s="1"/>
      <c r="VA11" s="1"/>
      <c r="VB11" s="1"/>
      <c r="VC11" s="1"/>
      <c r="VD11" s="1"/>
      <c r="VE11" s="1"/>
      <c r="VF11" s="1"/>
      <c r="VG11" s="1"/>
      <c r="VH11" s="1"/>
      <c r="VI11" s="1"/>
      <c r="VJ11" s="1"/>
      <c r="VK11" s="1"/>
      <c r="VL11" s="1"/>
      <c r="VM11" s="1"/>
      <c r="VN11" s="1"/>
      <c r="VO11" s="1"/>
      <c r="VP11" s="1"/>
      <c r="VQ11" s="1"/>
      <c r="VR11" s="1"/>
      <c r="VS11" s="1"/>
      <c r="VT11" s="1"/>
      <c r="VU11" s="1"/>
      <c r="VV11" s="1"/>
      <c r="VW11" s="1"/>
      <c r="VX11" s="1"/>
      <c r="VY11" s="1"/>
      <c r="VZ11" s="1"/>
      <c r="WA11" s="1"/>
      <c r="WB11" s="1"/>
      <c r="WC11" s="1"/>
      <c r="WD11" s="1"/>
      <c r="WE11" s="1"/>
      <c r="WF11" s="1"/>
      <c r="WG11" s="1"/>
      <c r="WH11" s="1"/>
      <c r="WI11" s="1"/>
      <c r="WJ11" s="1"/>
      <c r="WK11" s="1"/>
      <c r="WL11" s="1"/>
      <c r="WM11" s="1"/>
      <c r="WN11" s="1"/>
      <c r="WO11" s="1"/>
      <c r="WP11" s="1"/>
      <c r="WQ11" s="1"/>
      <c r="WR11" s="1"/>
      <c r="WS11" s="1"/>
      <c r="WT11" s="1"/>
      <c r="WU11" s="1"/>
      <c r="WV11" s="1"/>
      <c r="WW11" s="1"/>
      <c r="WX11" s="1"/>
      <c r="WY11" s="1"/>
      <c r="WZ11" s="1"/>
      <c r="XA11" s="1"/>
      <c r="XB11" s="1"/>
      <c r="XC11" s="1"/>
      <c r="XD11" s="1"/>
      <c r="XE11" s="1"/>
      <c r="XF11" s="1"/>
      <c r="XG11" s="1"/>
      <c r="XH11" s="1"/>
      <c r="XI11" s="1"/>
      <c r="XJ11" s="1"/>
      <c r="XK11" s="1"/>
      <c r="XL11" s="1"/>
      <c r="XM11" s="1"/>
      <c r="XN11" s="1"/>
      <c r="XO11" s="1"/>
      <c r="XP11" s="1"/>
      <c r="XQ11" s="1"/>
      <c r="XR11" s="1"/>
      <c r="XS11" s="1"/>
      <c r="XT11" s="1"/>
      <c r="XU11" s="1"/>
      <c r="XV11" s="1"/>
      <c r="XW11" s="1"/>
      <c r="XX11" s="1"/>
      <c r="XY11" s="1"/>
      <c r="XZ11" s="1"/>
      <c r="YA11" s="1"/>
      <c r="YB11" s="1"/>
      <c r="YC11" s="1"/>
      <c r="YD11" s="1"/>
      <c r="YE11" s="1"/>
      <c r="YF11" s="1"/>
      <c r="YG11" s="1"/>
      <c r="YH11" s="1"/>
      <c r="YI11" s="1"/>
      <c r="YJ11" s="1"/>
      <c r="YK11" s="1"/>
      <c r="YL11" s="1"/>
      <c r="YM11" s="1"/>
      <c r="YN11" s="1"/>
      <c r="YO11" s="1"/>
      <c r="YP11" s="1"/>
      <c r="YQ11" s="1"/>
      <c r="YR11" s="1"/>
      <c r="YS11" s="1"/>
      <c r="YT11" s="1"/>
      <c r="YU11" s="1"/>
      <c r="YV11" s="1"/>
      <c r="YW11" s="1"/>
      <c r="YX11" s="1"/>
      <c r="YY11" s="1"/>
      <c r="YZ11" s="1"/>
      <c r="ZA11" s="1"/>
      <c r="ZB11" s="1"/>
      <c r="ZC11" s="1"/>
      <c r="ZD11" s="1"/>
      <c r="ZE11" s="1"/>
      <c r="ZF11" s="1"/>
      <c r="ZG11" s="1"/>
      <c r="ZH11" s="1"/>
      <c r="ZI11" s="1"/>
      <c r="ZJ11" s="1"/>
      <c r="ZK11" s="1"/>
      <c r="ZL11" s="1"/>
      <c r="ZM11" s="1"/>
      <c r="ZN11" s="1"/>
      <c r="ZO11" s="1"/>
      <c r="ZP11" s="1"/>
      <c r="ZQ11" s="1"/>
      <c r="ZR11" s="1"/>
      <c r="ZS11" s="1"/>
      <c r="ZT11" s="1"/>
      <c r="ZU11" s="1"/>
      <c r="ZV11" s="1"/>
      <c r="ZW11" s="1"/>
      <c r="ZX11" s="1"/>
      <c r="ZY11" s="1"/>
      <c r="ZZ11" s="1"/>
      <c r="AAA11" s="1"/>
      <c r="AAB11" s="1"/>
      <c r="AAC11" s="1"/>
      <c r="AAD11" s="1"/>
      <c r="AAE11" s="1"/>
      <c r="AAF11" s="1"/>
      <c r="AAG11" s="1"/>
      <c r="AAH11" s="1"/>
      <c r="AAI11" s="1"/>
      <c r="AAJ11" s="1"/>
      <c r="AAK11" s="1"/>
      <c r="AAL11" s="1"/>
      <c r="AAM11" s="1"/>
      <c r="AAN11" s="1"/>
      <c r="AAO11" s="1"/>
      <c r="AAP11" s="1"/>
      <c r="AAQ11" s="1"/>
      <c r="AAR11" s="1"/>
      <c r="AAS11" s="1"/>
      <c r="AAT11" s="1"/>
      <c r="AAU11" s="1"/>
      <c r="AAV11" s="1"/>
      <c r="AAW11" s="1"/>
      <c r="AAX11" s="1"/>
      <c r="AAY11" s="1"/>
      <c r="AAZ11" s="1"/>
      <c r="ABA11" s="1"/>
      <c r="ABB11" s="1"/>
      <c r="ABC11" s="1"/>
      <c r="ABD11" s="1"/>
      <c r="ABE11" s="1"/>
      <c r="ABF11" s="1"/>
      <c r="ABG11" s="1"/>
      <c r="ABH11" s="1"/>
      <c r="ABI11" s="1"/>
      <c r="ABJ11" s="1"/>
      <c r="ABK11" s="1"/>
      <c r="ABL11" s="1"/>
      <c r="ABM11" s="1"/>
      <c r="ABN11" s="1"/>
      <c r="ABO11" s="1"/>
      <c r="ABP11" s="1"/>
      <c r="ABQ11" s="1"/>
      <c r="ABR11" s="1"/>
      <c r="ABS11" s="1"/>
      <c r="ABT11" s="1"/>
      <c r="ABU11" s="1"/>
      <c r="ABV11" s="1"/>
      <c r="ABW11" s="1"/>
      <c r="ABX11" s="1"/>
      <c r="ABY11" s="1"/>
      <c r="ABZ11" s="1"/>
      <c r="ACA11" s="1"/>
      <c r="ACB11" s="1"/>
      <c r="ACC11" s="1"/>
      <c r="ACD11" s="1"/>
      <c r="ACE11" s="1"/>
      <c r="ACF11" s="1"/>
      <c r="ACG11" s="1"/>
      <c r="ACH11" s="1"/>
      <c r="ACI11" s="1"/>
      <c r="ACJ11" s="1"/>
      <c r="ACK11" s="1"/>
      <c r="ACL11" s="1"/>
      <c r="ACM11" s="1"/>
      <c r="ACN11" s="1"/>
      <c r="ACO11" s="1"/>
      <c r="ACP11" s="1"/>
      <c r="ACQ11" s="1"/>
      <c r="ACR11" s="1"/>
      <c r="ACS11" s="1"/>
      <c r="ACT11" s="1"/>
      <c r="ACU11" s="1"/>
      <c r="ACV11" s="1"/>
      <c r="ACW11" s="1"/>
      <c r="ACX11" s="1"/>
      <c r="ACY11" s="1"/>
      <c r="ACZ11" s="1"/>
      <c r="ADA11" s="1"/>
      <c r="ADB11" s="1"/>
      <c r="ADC11" s="1"/>
      <c r="ADD11" s="1"/>
      <c r="ADE11" s="1"/>
      <c r="ADF11" s="1"/>
      <c r="ADG11" s="1"/>
      <c r="ADH11" s="1"/>
      <c r="ADI11" s="1"/>
      <c r="ADJ11" s="1"/>
      <c r="ADK11" s="1"/>
      <c r="ADL11" s="1"/>
      <c r="ADM11" s="1"/>
      <c r="ADN11" s="1"/>
      <c r="ADO11" s="1"/>
      <c r="ADP11" s="1"/>
      <c r="ADQ11" s="1"/>
      <c r="ADR11" s="1"/>
      <c r="ADS11" s="1"/>
      <c r="ADT11" s="1"/>
      <c r="ADU11" s="1"/>
      <c r="ADV11" s="1"/>
      <c r="ADW11" s="1"/>
      <c r="ADX11" s="1"/>
      <c r="ADY11" s="1"/>
      <c r="ADZ11" s="1"/>
      <c r="AEA11" s="1"/>
      <c r="AEB11" s="1"/>
      <c r="AEC11" s="1"/>
      <c r="AED11" s="1"/>
      <c r="AEE11" s="1"/>
      <c r="AEF11" s="1"/>
      <c r="AEG11" s="1"/>
      <c r="AEH11" s="1"/>
      <c r="AEI11" s="1"/>
      <c r="AEJ11" s="1"/>
      <c r="AEK11" s="1"/>
      <c r="AEL11" s="1"/>
      <c r="AEM11" s="1"/>
      <c r="AEN11" s="1"/>
      <c r="AEO11" s="1"/>
      <c r="AEP11" s="1"/>
      <c r="AEQ11" s="1"/>
      <c r="AER11" s="1"/>
      <c r="AES11" s="1"/>
      <c r="AET11" s="1"/>
      <c r="AEU11" s="1"/>
      <c r="AEV11" s="1"/>
      <c r="AEW11" s="1"/>
      <c r="AEX11" s="1"/>
      <c r="AEY11" s="1"/>
      <c r="AEZ11" s="1"/>
      <c r="AFA11" s="1"/>
      <c r="AFB11" s="1"/>
      <c r="AFC11" s="1"/>
      <c r="AFD11" s="1"/>
      <c r="AFE11" s="1"/>
      <c r="AFF11" s="1"/>
      <c r="AFG11" s="1"/>
      <c r="AFH11" s="1"/>
      <c r="AFI11" s="1"/>
      <c r="AFJ11" s="1"/>
      <c r="AFK11" s="1"/>
      <c r="AFL11" s="1"/>
      <c r="AFM11" s="1"/>
      <c r="AFN11" s="1"/>
      <c r="AFO11" s="1"/>
      <c r="AFP11" s="1"/>
      <c r="AFQ11" s="1"/>
      <c r="AFR11" s="1"/>
      <c r="AFS11" s="1"/>
      <c r="AFT11" s="1"/>
      <c r="AFU11" s="1"/>
      <c r="AFV11" s="1"/>
      <c r="AFW11" s="1"/>
      <c r="AFX11" s="1"/>
      <c r="AFY11" s="1"/>
      <c r="AFZ11" s="1"/>
      <c r="AGA11" s="1"/>
      <c r="AGB11" s="1"/>
      <c r="AGC11" s="1"/>
      <c r="AGD11" s="1"/>
      <c r="AGE11" s="1"/>
      <c r="AGF11" s="1"/>
      <c r="AGG11" s="1"/>
      <c r="AGH11" s="1"/>
      <c r="AGI11" s="1"/>
      <c r="AGJ11" s="1"/>
      <c r="AGK11" s="1"/>
      <c r="AGL11" s="1"/>
      <c r="AGM11" s="1"/>
      <c r="AGN11" s="1"/>
      <c r="AGO11" s="1"/>
      <c r="AGP11" s="1"/>
      <c r="AGQ11" s="1"/>
      <c r="AGR11" s="1"/>
      <c r="AGS11" s="1"/>
      <c r="AGT11" s="1"/>
      <c r="AGU11" s="1"/>
      <c r="AGV11" s="1"/>
      <c r="AGW11" s="1"/>
      <c r="AGX11" s="1"/>
      <c r="AGY11" s="1"/>
      <c r="AGZ11" s="1"/>
      <c r="AHA11" s="1"/>
      <c r="AHB11" s="1"/>
      <c r="AHC11" s="1"/>
      <c r="AHD11" s="1"/>
      <c r="AHE11" s="1"/>
      <c r="AHF11" s="1"/>
      <c r="AHG11" s="1"/>
      <c r="AHH11" s="1"/>
      <c r="AHI11" s="1"/>
      <c r="AHJ11" s="1"/>
      <c r="AHK11" s="1"/>
      <c r="AHL11" s="1"/>
      <c r="AHM11" s="1"/>
      <c r="AHN11" s="1"/>
      <c r="AHO11" s="1"/>
      <c r="AHP11" s="1"/>
      <c r="AHQ11" s="1"/>
      <c r="AHR11" s="1"/>
      <c r="AHS11" s="1"/>
      <c r="AHT11" s="1"/>
      <c r="AHU11" s="1"/>
      <c r="AHV11" s="1"/>
      <c r="AHW11" s="1"/>
      <c r="AHX11" s="1"/>
      <c r="AHY11" s="1"/>
      <c r="AHZ11" s="1"/>
      <c r="AIA11" s="1"/>
      <c r="AIB11" s="1"/>
      <c r="AIC11" s="1"/>
      <c r="AID11" s="1"/>
      <c r="AIE11" s="1"/>
      <c r="AIF11" s="1"/>
      <c r="AIG11" s="1"/>
      <c r="AIH11" s="1"/>
      <c r="AII11" s="1"/>
      <c r="AIJ11" s="1"/>
      <c r="AIK11" s="1"/>
      <c r="AIL11" s="1"/>
      <c r="AIM11" s="1"/>
      <c r="AIN11" s="1"/>
      <c r="AIO11" s="1"/>
      <c r="AIP11" s="1"/>
      <c r="AIQ11" s="1"/>
      <c r="AIR11" s="1"/>
      <c r="AIS11" s="1"/>
      <c r="AIT11" s="1"/>
      <c r="AIU11" s="1"/>
      <c r="AIV11" s="1"/>
      <c r="AIW11" s="1"/>
      <c r="AIX11" s="1"/>
      <c r="AIY11" s="1"/>
      <c r="AIZ11" s="1"/>
      <c r="AJA11" s="1"/>
      <c r="AJB11" s="1"/>
      <c r="AJC11" s="1"/>
      <c r="AJD11" s="1"/>
      <c r="AJE11" s="1"/>
      <c r="AJF11" s="1"/>
      <c r="AJG11" s="1"/>
      <c r="AJH11" s="1"/>
      <c r="AJI11" s="1"/>
      <c r="AJJ11" s="1"/>
      <c r="AJK11" s="1"/>
      <c r="AJL11" s="1"/>
      <c r="AJM11" s="1"/>
      <c r="AJN11" s="1"/>
      <c r="AJO11" s="1"/>
      <c r="AJP11" s="1"/>
      <c r="AJQ11" s="1"/>
      <c r="AJR11" s="1"/>
      <c r="AJS11" s="1"/>
      <c r="AJT11" s="1"/>
      <c r="AJU11" s="1"/>
      <c r="AJV11" s="1"/>
      <c r="AJW11" s="1"/>
      <c r="AJX11" s="1"/>
      <c r="AJY11" s="1"/>
      <c r="AJZ11" s="1"/>
      <c r="AKA11" s="1"/>
      <c r="AKB11" s="1"/>
      <c r="AKC11" s="1"/>
      <c r="AKD11" s="1"/>
      <c r="AKE11" s="1"/>
      <c r="AKF11" s="1"/>
      <c r="AKG11" s="1"/>
      <c r="AKH11" s="1"/>
      <c r="AKI11" s="1"/>
      <c r="AKJ11" s="1"/>
      <c r="AKK11" s="1"/>
      <c r="AKL11" s="1"/>
      <c r="AKM11" s="1"/>
      <c r="AKN11" s="1"/>
      <c r="AKO11" s="1"/>
      <c r="AKP11" s="1"/>
      <c r="AKQ11" s="1"/>
      <c r="AKR11" s="1"/>
      <c r="AKS11" s="1"/>
      <c r="AKT11" s="1"/>
      <c r="AKU11" s="1"/>
      <c r="AKV11" s="1"/>
      <c r="AKW11" s="1"/>
      <c r="AKX11" s="1"/>
      <c r="AKY11" s="1"/>
      <c r="AKZ11" s="1"/>
      <c r="ALA11" s="1"/>
      <c r="ALB11" s="1"/>
      <c r="ALC11" s="1"/>
      <c r="ALD11" s="1"/>
      <c r="ALE11" s="1"/>
      <c r="ALF11" s="1"/>
      <c r="ALG11" s="1"/>
      <c r="ALH11" s="1"/>
      <c r="ALI11" s="1"/>
      <c r="ALJ11" s="1"/>
      <c r="ALK11" s="1"/>
      <c r="ALL11" s="1"/>
      <c r="ALM11" s="1"/>
      <c r="ALN11" s="1"/>
      <c r="ALO11" s="1"/>
      <c r="ALP11" s="1"/>
      <c r="ALQ11" s="1"/>
      <c r="ALR11" s="1"/>
      <c r="ALS11" s="1"/>
      <c r="ALT11" s="1"/>
      <c r="ALU11" s="1"/>
      <c r="ALV11" s="1"/>
      <c r="ALW11" s="1"/>
      <c r="ALX11" s="1"/>
      <c r="ALY11" s="1"/>
      <c r="ALZ11" s="1"/>
      <c r="AMA11" s="1"/>
      <c r="AMB11" s="1"/>
      <c r="AMC11" s="1"/>
      <c r="AMD11" s="1"/>
      <c r="AME11" s="1"/>
    </row>
    <row r="12" customFormat="false" ht="16.5" hidden="false" customHeight="true" outlineLevel="0" collapsed="false">
      <c r="B12" s="22" t="str">
        <f aca="false">'Base Chapecó'!B8</f>
        <v>APS CAMPOS NOVOS</v>
      </c>
      <c r="C12" s="24" t="n">
        <f aca="false">'Base Chapecó'!AO8</f>
        <v>1988.18388769978</v>
      </c>
      <c r="D12" s="24" t="n">
        <f aca="false">C12*3</f>
        <v>5964.55166309934</v>
      </c>
      <c r="E12" s="24" t="n">
        <f aca="false">C12+D12</f>
        <v>7952.73555079913</v>
      </c>
      <c r="F12" s="24" t="n">
        <f aca="false">C12*12</f>
        <v>23858.2066523974</v>
      </c>
      <c r="G12" s="24" t="n">
        <f aca="false">F12*3</f>
        <v>71574.6199571921</v>
      </c>
      <c r="H12" s="24" t="n">
        <f aca="false">F12+G12</f>
        <v>95432.8266095895</v>
      </c>
      <c r="I12" s="36" t="n">
        <f aca="false">F12/$E$7</f>
        <v>0.0585211654085714</v>
      </c>
    </row>
    <row r="13" customFormat="false" ht="16.5" hidden="false" customHeight="true" outlineLevel="0" collapsed="false">
      <c r="B13" s="22" t="str">
        <f aca="false">'Base Chapecó'!B9</f>
        <v>APS CAPINZAL</v>
      </c>
      <c r="C13" s="24" t="n">
        <f aca="false">'Base Chapecó'!AO9</f>
        <v>1618.95569991004</v>
      </c>
      <c r="D13" s="24" t="n">
        <f aca="false">C13*3</f>
        <v>4856.86709973012</v>
      </c>
      <c r="E13" s="24" t="n">
        <f aca="false">C13+D13</f>
        <v>6475.82279964016</v>
      </c>
      <c r="F13" s="24" t="n">
        <f aca="false">C13*12</f>
        <v>19427.4683989205</v>
      </c>
      <c r="G13" s="24" t="n">
        <f aca="false">F13*3</f>
        <v>58282.4051967614</v>
      </c>
      <c r="H13" s="24" t="n">
        <f aca="false">F13+G13</f>
        <v>77709.8735956819</v>
      </c>
      <c r="I13" s="36" t="n">
        <f aca="false">F13/$E$7</f>
        <v>0.0476531244869897</v>
      </c>
    </row>
    <row r="14" customFormat="false" ht="16.5" hidden="false" customHeight="true" outlineLevel="0" collapsed="false">
      <c r="B14" s="22" t="str">
        <f aca="false">'Base Chapecó'!B10</f>
        <v>APS CHAPECÓ</v>
      </c>
      <c r="C14" s="24" t="n">
        <f aca="false">'Base Chapecó'!AO10</f>
        <v>1305.62437451262</v>
      </c>
      <c r="D14" s="24" t="n">
        <f aca="false">C14*3</f>
        <v>3916.87312353785</v>
      </c>
      <c r="E14" s="24" t="n">
        <f aca="false">C14+D14</f>
        <v>5222.49749805046</v>
      </c>
      <c r="F14" s="24" t="n">
        <f aca="false">C14*12</f>
        <v>15667.4924941514</v>
      </c>
      <c r="G14" s="24" t="n">
        <f aca="false">F14*3</f>
        <v>47002.4774824542</v>
      </c>
      <c r="H14" s="24" t="n">
        <f aca="false">F14+G14</f>
        <v>62669.9699766055</v>
      </c>
      <c r="I14" s="36" t="n">
        <f aca="false">F14/$E$7</f>
        <v>0.0384303788271384</v>
      </c>
    </row>
    <row r="15" customFormat="false" ht="16.5" hidden="false" customHeight="true" outlineLevel="0" collapsed="false">
      <c r="B15" s="22" t="str">
        <f aca="false">'Base Chapecó'!B11</f>
        <v>APS CONCÓRDIA</v>
      </c>
      <c r="C15" s="24" t="n">
        <f aca="false">'Base Chapecó'!AO11</f>
        <v>1874.8586772272</v>
      </c>
      <c r="D15" s="24" t="n">
        <f aca="false">C15*3</f>
        <v>5624.5760316816</v>
      </c>
      <c r="E15" s="24" t="n">
        <f aca="false">C15+D15</f>
        <v>7499.43470890879</v>
      </c>
      <c r="F15" s="24" t="n">
        <f aca="false">C15*12</f>
        <v>22498.3041267264</v>
      </c>
      <c r="G15" s="24" t="n">
        <f aca="false">F15*3</f>
        <v>67494.9123801791</v>
      </c>
      <c r="H15" s="24" t="n">
        <f aca="false">F15+G15</f>
        <v>89993.2165069055</v>
      </c>
      <c r="I15" s="36" t="n">
        <f aca="false">F15/$E$7</f>
        <v>0.0551854963952288</v>
      </c>
    </row>
    <row r="16" customFormat="false" ht="16.5" hidden="false" customHeight="true" outlineLevel="0" collapsed="false">
      <c r="B16" s="22" t="str">
        <f aca="false">'Base Chapecó'!B12</f>
        <v>APS FRAIBURGO</v>
      </c>
      <c r="C16" s="24" t="n">
        <f aca="false">'Base Chapecó'!AO12</f>
        <v>1616.53514028282</v>
      </c>
      <c r="D16" s="24" t="n">
        <f aca="false">C16*3</f>
        <v>4849.60542084846</v>
      </c>
      <c r="E16" s="24" t="n">
        <f aca="false">C16+D16</f>
        <v>6466.14056113127</v>
      </c>
      <c r="F16" s="24" t="n">
        <f aca="false">C16*12</f>
        <v>19398.4216833938</v>
      </c>
      <c r="G16" s="24" t="n">
        <f aca="false">F16*3</f>
        <v>58195.2650501815</v>
      </c>
      <c r="H16" s="24" t="n">
        <f aca="false">F16+G16</f>
        <v>77593.6867335753</v>
      </c>
      <c r="I16" s="36" t="n">
        <f aca="false">F16/$E$7</f>
        <v>0.0475818765651037</v>
      </c>
    </row>
    <row r="17" customFormat="false" ht="16.5" hidden="false" customHeight="true" outlineLevel="0" collapsed="false">
      <c r="B17" s="22" t="str">
        <f aca="false">'Base Chapecó'!B13</f>
        <v>APS JOAÇABA</v>
      </c>
      <c r="C17" s="24" t="n">
        <f aca="false">'Base Chapecó'!AO13</f>
        <v>1945.66094333358</v>
      </c>
      <c r="D17" s="24" t="n">
        <f aca="false">C17*3</f>
        <v>5836.98283000074</v>
      </c>
      <c r="E17" s="24" t="n">
        <f aca="false">C17+D17</f>
        <v>7782.64377333432</v>
      </c>
      <c r="F17" s="24" t="n">
        <f aca="false">C17*12</f>
        <v>23347.931320003</v>
      </c>
      <c r="G17" s="24" t="n">
        <f aca="false">F17*3</f>
        <v>70043.7939600089</v>
      </c>
      <c r="H17" s="24" t="n">
        <f aca="false">F17+G17</f>
        <v>93391.7252800118</v>
      </c>
      <c r="I17" s="36" t="n">
        <f aca="false">F17/$E$7</f>
        <v>0.0572695245134261</v>
      </c>
    </row>
    <row r="18" customFormat="false" ht="16.5" hidden="false" customHeight="true" outlineLevel="0" collapsed="false">
      <c r="B18" s="22" t="str">
        <f aca="false">'Base Chapecó'!B14</f>
        <v>APS MARAVILHA</v>
      </c>
      <c r="C18" s="24" t="n">
        <f aca="false">'Base Chapecó'!AO14</f>
        <v>1128.16471323732</v>
      </c>
      <c r="D18" s="24" t="n">
        <f aca="false">C18*3</f>
        <v>3384.49413971195</v>
      </c>
      <c r="E18" s="24" t="n">
        <f aca="false">C18+D18</f>
        <v>4512.65885294927</v>
      </c>
      <c r="F18" s="24" t="n">
        <f aca="false">C18*12</f>
        <v>13537.9765588478</v>
      </c>
      <c r="G18" s="24" t="n">
        <f aca="false">F18*3</f>
        <v>40613.9296765434</v>
      </c>
      <c r="H18" s="24" t="n">
        <f aca="false">F18+G18</f>
        <v>54151.9062353912</v>
      </c>
      <c r="I18" s="36" t="n">
        <f aca="false">F18/$E$7</f>
        <v>0.0332069453936969</v>
      </c>
    </row>
    <row r="19" customFormat="false" ht="16.5" hidden="false" customHeight="true" outlineLevel="0" collapsed="false">
      <c r="B19" s="22" t="str">
        <f aca="false">'Base Chapecó'!B15</f>
        <v>APS PINHALZINHO</v>
      </c>
      <c r="C19" s="24" t="n">
        <f aca="false">'Base Chapecó'!AO15</f>
        <v>1104.31306878351</v>
      </c>
      <c r="D19" s="24" t="n">
        <f aca="false">C19*3</f>
        <v>3312.93920635054</v>
      </c>
      <c r="E19" s="24" t="n">
        <f aca="false">C19+D19</f>
        <v>4417.25227513405</v>
      </c>
      <c r="F19" s="24" t="n">
        <f aca="false">C19*12</f>
        <v>13251.7568254022</v>
      </c>
      <c r="G19" s="24" t="n">
        <f aca="false">F19*3</f>
        <v>39755.2704762065</v>
      </c>
      <c r="H19" s="24" t="n">
        <f aca="false">F19+G19</f>
        <v>53007.0273016086</v>
      </c>
      <c r="I19" s="36" t="n">
        <f aca="false">F19/$E$7</f>
        <v>0.0325048845637188</v>
      </c>
    </row>
    <row r="20" customFormat="false" ht="16.5" hidden="false" customHeight="true" outlineLevel="0" collapsed="false">
      <c r="B20" s="22" t="str">
        <f aca="false">'Base Chapecó'!B16</f>
        <v>APS SÃO MIGUEL D OESTE</v>
      </c>
      <c r="C20" s="24" t="n">
        <f aca="false">'Base Chapecó'!AO16</f>
        <v>1738.85334043756</v>
      </c>
      <c r="D20" s="24" t="n">
        <f aca="false">C20*3</f>
        <v>5216.56002131267</v>
      </c>
      <c r="E20" s="24" t="n">
        <f aca="false">C20+D20</f>
        <v>6955.41336175023</v>
      </c>
      <c r="F20" s="24" t="n">
        <f aca="false">C20*12</f>
        <v>20866.2400852507</v>
      </c>
      <c r="G20" s="24" t="n">
        <f aca="false">F20*3</f>
        <v>62598.7202557521</v>
      </c>
      <c r="H20" s="24" t="n">
        <f aca="false">F20+G20</f>
        <v>83464.9603410028</v>
      </c>
      <c r="I20" s="36" t="n">
        <f aca="false">F20/$E$7</f>
        <v>0.0511822495829214</v>
      </c>
    </row>
    <row r="21" customFormat="false" ht="16.5" hidden="false" customHeight="true" outlineLevel="0" collapsed="false">
      <c r="B21" s="22" t="str">
        <f aca="false">'Base Chapecó'!B17</f>
        <v>APS VIDEIRA</v>
      </c>
      <c r="C21" s="24" t="n">
        <f aca="false">'Base Chapecó'!AO17</f>
        <v>2032.21243538137</v>
      </c>
      <c r="D21" s="24" t="n">
        <f aca="false">C21*3</f>
        <v>6096.6373061441</v>
      </c>
      <c r="E21" s="24" t="n">
        <f aca="false">C21+D21</f>
        <v>8128.84974152546</v>
      </c>
      <c r="F21" s="24" t="n">
        <f aca="false">C21*12</f>
        <v>24386.5492245764</v>
      </c>
      <c r="G21" s="24" t="n">
        <f aca="false">F21*3</f>
        <v>73159.6476737292</v>
      </c>
      <c r="H21" s="24" t="n">
        <f aca="false">F21+G21</f>
        <v>97546.1968983056</v>
      </c>
      <c r="I21" s="36" t="n">
        <f aca="false">F21/$E$7</f>
        <v>0.059817122959336</v>
      </c>
    </row>
    <row r="22" customFormat="false" ht="16.5" hidden="false" customHeight="true" outlineLevel="0" collapsed="false">
      <c r="B22" s="22" t="str">
        <f aca="false">'Base Chapecó'!B18</f>
        <v>APS XANXERÊ</v>
      </c>
      <c r="C22" s="24" t="n">
        <f aca="false">'Base Chapecó'!AO18</f>
        <v>1441.77871423775</v>
      </c>
      <c r="D22" s="24" t="n">
        <f aca="false">C22*3</f>
        <v>4325.33614271324</v>
      </c>
      <c r="E22" s="24" t="n">
        <f aca="false">C22+D22</f>
        <v>5767.11485695098</v>
      </c>
      <c r="F22" s="24" t="n">
        <f aca="false">C22*12</f>
        <v>17301.3445708529</v>
      </c>
      <c r="G22" s="24" t="n">
        <f aca="false">F22*3</f>
        <v>51904.0337125588</v>
      </c>
      <c r="H22" s="24" t="n">
        <f aca="false">F22+G22</f>
        <v>69205.3782834118</v>
      </c>
      <c r="I22" s="36" t="n">
        <f aca="false">F22/$E$7</f>
        <v>0.0424380114638597</v>
      </c>
    </row>
    <row r="23" customFormat="false" ht="16.5" hidden="false" customHeight="true" outlineLevel="0" collapsed="false">
      <c r="B23" s="22" t="str">
        <f aca="false">'Base Chapecó'!B19</f>
        <v>APS XAXIM</v>
      </c>
      <c r="C23" s="24" t="n">
        <f aca="false">'Base Chapecó'!AO19</f>
        <v>895.728168239312</v>
      </c>
      <c r="D23" s="24" t="n">
        <f aca="false">C23*3</f>
        <v>2687.18450471793</v>
      </c>
      <c r="E23" s="24" t="n">
        <f aca="false">C23+D23</f>
        <v>3582.91267295725</v>
      </c>
      <c r="F23" s="24" t="n">
        <f aca="false">C23*12</f>
        <v>10748.7380188717</v>
      </c>
      <c r="G23" s="24" t="n">
        <f aca="false">F23*3</f>
        <v>32246.2140566152</v>
      </c>
      <c r="H23" s="24" t="n">
        <f aca="false">F23+G23</f>
        <v>42994.952075487</v>
      </c>
      <c r="I23" s="36" t="n">
        <f aca="false">F23/$E$7</f>
        <v>0.0263652957952976</v>
      </c>
    </row>
    <row r="24" customFormat="false" ht="16.5" hidden="false" customHeight="true" outlineLevel="0" collapsed="false">
      <c r="B24" s="22" t="str">
        <f aca="false">'Base Chapecó'!B20</f>
        <v>GEX CHAPECÓ</v>
      </c>
      <c r="C24" s="24" t="n">
        <f aca="false">'Base Chapecó'!AO20</f>
        <v>1305.62437451262</v>
      </c>
      <c r="D24" s="24" t="n">
        <f aca="false">C24*3</f>
        <v>3916.87312353785</v>
      </c>
      <c r="E24" s="24" t="n">
        <f aca="false">C24+D24</f>
        <v>5222.49749805046</v>
      </c>
      <c r="F24" s="24" t="n">
        <f aca="false">C24*12</f>
        <v>15667.4924941514</v>
      </c>
      <c r="G24" s="24" t="n">
        <f aca="false">F24*3</f>
        <v>47002.4774824542</v>
      </c>
      <c r="H24" s="24" t="n">
        <f aca="false">F24+G24</f>
        <v>62669.9699766055</v>
      </c>
      <c r="I24" s="36" t="n">
        <f aca="false">F24/$E$7</f>
        <v>0.0384303788271384</v>
      </c>
    </row>
    <row r="25" customFormat="false" ht="22.5" hidden="false" customHeight="true" outlineLevel="0" collapsed="false">
      <c r="B25" s="37" t="str">
        <f aca="false">"Total Base "&amp;B5</f>
        <v>Total Base CHAPECÓ</v>
      </c>
      <c r="C25" s="37" t="n">
        <f aca="false">SUM(C11:C24)</f>
        <v>22401.6781301322</v>
      </c>
      <c r="D25" s="37" t="n">
        <f aca="false">SUM(D11:D24)</f>
        <v>67205.0343903967</v>
      </c>
      <c r="E25" s="37" t="n">
        <f aca="false">SUM(E11:E24)</f>
        <v>89606.712520529</v>
      </c>
      <c r="F25" s="37" t="n">
        <f aca="false">SUM(F11:F24)</f>
        <v>268820.137561587</v>
      </c>
      <c r="G25" s="37" t="n">
        <f aca="false">SUM(G11:G24)</f>
        <v>806460.412684761</v>
      </c>
      <c r="H25" s="37" t="n">
        <f aca="false">SUM(H11:H24)</f>
        <v>1075280.55024635</v>
      </c>
      <c r="I25" s="38" t="n">
        <f aca="false">SUM(I11:I24)</f>
        <v>0.659381820461168</v>
      </c>
    </row>
    <row r="26" customFormat="false" ht="22.5" hidden="false" customHeight="true" outlineLevel="0" collapsed="false">
      <c r="B26" s="39"/>
      <c r="C26" s="39"/>
      <c r="D26" s="39"/>
      <c r="E26" s="39"/>
      <c r="F26" s="39"/>
      <c r="G26" s="39"/>
      <c r="H26" s="39"/>
      <c r="I26" s="40"/>
    </row>
    <row r="27" customFormat="false" ht="27.75" hidden="false" customHeight="true" outlineLevel="0" collapsed="false">
      <c r="A27" s="29"/>
      <c r="B27" s="30" t="str">
        <f aca="false">"BASE "&amp;B6</f>
        <v>BASE PATO BRANCO</v>
      </c>
      <c r="C27" s="31" t="s">
        <v>23</v>
      </c>
      <c r="D27" s="31"/>
      <c r="E27" s="31"/>
      <c r="F27" s="31" t="s">
        <v>24</v>
      </c>
      <c r="G27" s="31"/>
      <c r="H27" s="31"/>
      <c r="I27" s="32" t="s">
        <v>25</v>
      </c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  <c r="AF27" s="29"/>
      <c r="AG27" s="29"/>
      <c r="AH27" s="29"/>
      <c r="AI27" s="29"/>
      <c r="AJ27" s="29"/>
      <c r="AK27" s="29"/>
      <c r="AL27" s="29"/>
      <c r="AM27" s="29"/>
      <c r="AN27" s="29"/>
      <c r="AO27" s="29"/>
      <c r="AP27" s="29"/>
      <c r="AQ27" s="29"/>
      <c r="AR27" s="29"/>
      <c r="AS27" s="29"/>
      <c r="AT27" s="29"/>
      <c r="AU27" s="29"/>
      <c r="AV27" s="29"/>
      <c r="AW27" s="29"/>
      <c r="AX27" s="29"/>
      <c r="AY27" s="29"/>
      <c r="AZ27" s="29"/>
      <c r="BA27" s="29"/>
      <c r="BB27" s="29"/>
      <c r="BC27" s="29"/>
      <c r="BD27" s="29"/>
      <c r="BE27" s="29"/>
      <c r="BF27" s="29"/>
      <c r="BG27" s="29"/>
      <c r="BH27" s="29"/>
      <c r="BI27" s="29"/>
      <c r="BJ27" s="29"/>
      <c r="BK27" s="29"/>
      <c r="BL27" s="29"/>
      <c r="BM27" s="29"/>
      <c r="BN27" s="29"/>
      <c r="BO27" s="29"/>
      <c r="BP27" s="29"/>
      <c r="BQ27" s="29"/>
      <c r="BR27" s="29"/>
      <c r="BS27" s="29"/>
      <c r="BT27" s="29"/>
      <c r="BU27" s="29"/>
      <c r="BV27" s="29"/>
      <c r="BW27" s="29"/>
      <c r="BX27" s="29"/>
      <c r="BY27" s="29"/>
      <c r="BZ27" s="29"/>
      <c r="CA27" s="29"/>
      <c r="CB27" s="29"/>
      <c r="CC27" s="29"/>
      <c r="CD27" s="29"/>
      <c r="CE27" s="29"/>
      <c r="CF27" s="29"/>
      <c r="CG27" s="29"/>
      <c r="CH27" s="29"/>
      <c r="CI27" s="29"/>
      <c r="CJ27" s="29"/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  <c r="DR27" s="29"/>
      <c r="DS27" s="29"/>
      <c r="DT27" s="29"/>
      <c r="DU27" s="29"/>
      <c r="DV27" s="29"/>
      <c r="DW27" s="29"/>
      <c r="DX27" s="29"/>
      <c r="DY27" s="29"/>
      <c r="DZ27" s="29"/>
      <c r="EA27" s="29"/>
      <c r="EB27" s="29"/>
      <c r="EC27" s="29"/>
      <c r="ED27" s="29"/>
      <c r="EE27" s="29"/>
      <c r="EF27" s="29"/>
      <c r="EG27" s="29"/>
      <c r="EH27" s="29"/>
      <c r="EI27" s="29"/>
      <c r="EJ27" s="29"/>
      <c r="EK27" s="29"/>
      <c r="EL27" s="29"/>
      <c r="EM27" s="29"/>
      <c r="EN27" s="29"/>
      <c r="EO27" s="29"/>
      <c r="EP27" s="29"/>
      <c r="EQ27" s="29"/>
      <c r="ER27" s="29"/>
      <c r="ES27" s="29"/>
      <c r="ET27" s="29"/>
      <c r="EU27" s="29"/>
      <c r="EV27" s="29"/>
      <c r="EW27" s="29"/>
      <c r="EX27" s="29"/>
      <c r="EY27" s="29"/>
      <c r="EZ27" s="29"/>
      <c r="FA27" s="29"/>
      <c r="FB27" s="29"/>
      <c r="FC27" s="29"/>
      <c r="FD27" s="29"/>
      <c r="FE27" s="29"/>
      <c r="FF27" s="29"/>
      <c r="FG27" s="29"/>
      <c r="FH27" s="29"/>
      <c r="FI27" s="29"/>
      <c r="FJ27" s="29"/>
      <c r="FK27" s="29"/>
      <c r="FL27" s="29"/>
      <c r="FM27" s="29"/>
      <c r="FN27" s="29"/>
      <c r="FO27" s="29"/>
      <c r="FP27" s="29"/>
      <c r="FQ27" s="29"/>
      <c r="FR27" s="29"/>
      <c r="FS27" s="29"/>
      <c r="FT27" s="29"/>
      <c r="FU27" s="29"/>
      <c r="FV27" s="29"/>
      <c r="FW27" s="29"/>
      <c r="FX27" s="29"/>
      <c r="FY27" s="29"/>
      <c r="FZ27" s="29"/>
      <c r="GA27" s="29"/>
      <c r="GB27" s="29"/>
      <c r="GC27" s="29"/>
      <c r="GD27" s="29"/>
      <c r="GE27" s="29"/>
      <c r="GF27" s="29"/>
      <c r="GG27" s="29"/>
      <c r="GH27" s="29"/>
      <c r="GI27" s="29"/>
      <c r="GJ27" s="29"/>
      <c r="GK27" s="29"/>
      <c r="GL27" s="29"/>
      <c r="GM27" s="29"/>
      <c r="GN27" s="29"/>
      <c r="GO27" s="29"/>
      <c r="GP27" s="29"/>
      <c r="GQ27" s="29"/>
      <c r="GR27" s="29"/>
      <c r="GS27" s="29"/>
      <c r="GT27" s="29"/>
      <c r="GU27" s="29"/>
      <c r="GV27" s="29"/>
      <c r="GW27" s="29"/>
      <c r="GX27" s="29"/>
      <c r="GY27" s="29"/>
      <c r="GZ27" s="29"/>
      <c r="HA27" s="29"/>
      <c r="HB27" s="29"/>
      <c r="HC27" s="29"/>
      <c r="HD27" s="29"/>
      <c r="HE27" s="29"/>
      <c r="HF27" s="29"/>
      <c r="HG27" s="29"/>
      <c r="HH27" s="29"/>
      <c r="HI27" s="29"/>
      <c r="HJ27" s="29"/>
      <c r="HK27" s="29"/>
      <c r="HL27" s="29"/>
      <c r="HM27" s="29"/>
      <c r="HN27" s="29"/>
      <c r="HO27" s="29"/>
      <c r="HP27" s="29"/>
      <c r="HQ27" s="29"/>
      <c r="HR27" s="29"/>
      <c r="HS27" s="29"/>
      <c r="HT27" s="29"/>
      <c r="HU27" s="29"/>
      <c r="HV27" s="29"/>
      <c r="HW27" s="29"/>
      <c r="HX27" s="29"/>
      <c r="HY27" s="29"/>
      <c r="HZ27" s="29"/>
      <c r="IA27" s="29"/>
      <c r="IB27" s="29"/>
      <c r="IC27" s="29"/>
      <c r="ID27" s="29"/>
      <c r="IE27" s="29"/>
      <c r="IF27" s="29"/>
      <c r="IG27" s="29"/>
      <c r="IH27" s="29"/>
      <c r="II27" s="29"/>
      <c r="IJ27" s="29"/>
      <c r="IK27" s="29"/>
      <c r="IL27" s="29"/>
      <c r="IM27" s="29"/>
      <c r="IN27" s="29"/>
      <c r="IO27" s="29"/>
      <c r="IP27" s="33"/>
      <c r="IQ27" s="29"/>
      <c r="IR27" s="29"/>
      <c r="IS27" s="29"/>
      <c r="IT27" s="29"/>
      <c r="IU27" s="29"/>
      <c r="IV27" s="29"/>
      <c r="IW27" s="29"/>
      <c r="IX27" s="29"/>
      <c r="IY27" s="29"/>
      <c r="IZ27" s="29"/>
      <c r="JA27" s="29"/>
      <c r="JB27" s="29"/>
      <c r="JC27" s="29"/>
      <c r="JD27" s="29"/>
      <c r="JE27" s="29"/>
      <c r="JF27" s="29"/>
      <c r="JG27" s="29"/>
      <c r="JH27" s="29"/>
      <c r="JI27" s="29"/>
      <c r="JJ27" s="29"/>
      <c r="JK27" s="29"/>
      <c r="JL27" s="29"/>
      <c r="JM27" s="29"/>
      <c r="JN27" s="29"/>
      <c r="JO27" s="29"/>
      <c r="JP27" s="29"/>
      <c r="JQ27" s="29"/>
      <c r="JR27" s="29"/>
      <c r="JS27" s="29"/>
      <c r="JT27" s="29"/>
      <c r="JU27" s="29"/>
      <c r="JV27" s="29"/>
      <c r="JW27" s="29"/>
      <c r="JX27" s="29"/>
      <c r="JY27" s="29"/>
      <c r="JZ27" s="29"/>
      <c r="KA27" s="29"/>
      <c r="KB27" s="29"/>
      <c r="KC27" s="29"/>
      <c r="KD27" s="29"/>
      <c r="KE27" s="29"/>
      <c r="KF27" s="29"/>
      <c r="KG27" s="29"/>
      <c r="KH27" s="29"/>
      <c r="KI27" s="29"/>
      <c r="KJ27" s="29"/>
      <c r="KK27" s="29"/>
      <c r="KL27" s="29"/>
      <c r="KM27" s="29"/>
      <c r="KN27" s="29"/>
      <c r="KO27" s="29"/>
      <c r="KP27" s="29"/>
      <c r="KQ27" s="29"/>
      <c r="KR27" s="29"/>
      <c r="KS27" s="29"/>
      <c r="KT27" s="29"/>
      <c r="KU27" s="29"/>
      <c r="KV27" s="29"/>
      <c r="KW27" s="29"/>
      <c r="KX27" s="29"/>
      <c r="KY27" s="29"/>
      <c r="KZ27" s="29"/>
      <c r="LA27" s="29"/>
      <c r="LB27" s="29"/>
      <c r="LC27" s="29"/>
      <c r="LD27" s="29"/>
      <c r="LE27" s="29"/>
      <c r="LF27" s="29"/>
      <c r="LG27" s="29"/>
      <c r="LH27" s="29"/>
      <c r="LI27" s="29"/>
      <c r="LJ27" s="29"/>
      <c r="LK27" s="29"/>
      <c r="LL27" s="29"/>
      <c r="LM27" s="29"/>
      <c r="LN27" s="29"/>
      <c r="LO27" s="29"/>
      <c r="LP27" s="29"/>
      <c r="LQ27" s="29"/>
      <c r="LR27" s="29"/>
      <c r="LS27" s="29"/>
      <c r="LT27" s="29"/>
      <c r="LU27" s="29"/>
      <c r="LV27" s="29"/>
      <c r="LW27" s="29"/>
      <c r="LX27" s="29"/>
      <c r="LY27" s="29"/>
      <c r="LZ27" s="29"/>
      <c r="MA27" s="29"/>
      <c r="MB27" s="29"/>
      <c r="MC27" s="29"/>
      <c r="MD27" s="29"/>
      <c r="ME27" s="29"/>
      <c r="MF27" s="29"/>
      <c r="MG27" s="29"/>
      <c r="MH27" s="29"/>
      <c r="MI27" s="29"/>
      <c r="MJ27" s="29"/>
      <c r="MK27" s="29"/>
      <c r="ML27" s="29"/>
      <c r="MM27" s="29"/>
      <c r="MN27" s="29"/>
      <c r="MO27" s="29"/>
      <c r="MP27" s="29"/>
      <c r="MQ27" s="29"/>
      <c r="MR27" s="29"/>
      <c r="MS27" s="29"/>
      <c r="MT27" s="29"/>
      <c r="MU27" s="29"/>
      <c r="MV27" s="29"/>
      <c r="MW27" s="29"/>
      <c r="MX27" s="29"/>
      <c r="MY27" s="29"/>
      <c r="MZ27" s="29"/>
      <c r="NA27" s="29"/>
      <c r="NB27" s="29"/>
      <c r="NC27" s="29"/>
      <c r="ND27" s="29"/>
      <c r="NE27" s="29"/>
      <c r="NF27" s="29"/>
      <c r="NG27" s="29"/>
      <c r="NH27" s="29"/>
      <c r="NI27" s="29"/>
      <c r="NJ27" s="29"/>
      <c r="NK27" s="29"/>
      <c r="NL27" s="29"/>
      <c r="NM27" s="29"/>
      <c r="NN27" s="29"/>
      <c r="NO27" s="29"/>
      <c r="NP27" s="29"/>
      <c r="NQ27" s="29"/>
      <c r="NR27" s="29"/>
      <c r="NS27" s="29"/>
      <c r="NT27" s="29"/>
      <c r="NU27" s="29"/>
      <c r="NV27" s="29"/>
      <c r="NW27" s="29"/>
      <c r="NX27" s="29"/>
      <c r="NY27" s="29"/>
      <c r="NZ27" s="29"/>
      <c r="OA27" s="29"/>
      <c r="OB27" s="29"/>
      <c r="OC27" s="29"/>
      <c r="OD27" s="29"/>
      <c r="OE27" s="29"/>
      <c r="OF27" s="29"/>
      <c r="OG27" s="29"/>
      <c r="OH27" s="29"/>
      <c r="OI27" s="29"/>
      <c r="OJ27" s="29"/>
      <c r="OK27" s="29"/>
      <c r="OL27" s="29"/>
      <c r="OM27" s="29"/>
      <c r="ON27" s="29"/>
      <c r="OO27" s="29"/>
      <c r="OP27" s="29"/>
      <c r="OQ27" s="29"/>
      <c r="OR27" s="29"/>
      <c r="OS27" s="29"/>
      <c r="OT27" s="29"/>
      <c r="OU27" s="29"/>
      <c r="OV27" s="29"/>
      <c r="OW27" s="29"/>
      <c r="OX27" s="29"/>
      <c r="OY27" s="29"/>
      <c r="OZ27" s="29"/>
      <c r="PA27" s="29"/>
      <c r="PB27" s="29"/>
      <c r="PC27" s="29"/>
      <c r="PD27" s="29"/>
      <c r="PE27" s="29"/>
      <c r="PF27" s="29"/>
      <c r="PG27" s="29"/>
      <c r="PH27" s="29"/>
      <c r="PI27" s="29"/>
      <c r="PJ27" s="29"/>
      <c r="PK27" s="29"/>
      <c r="PL27" s="29"/>
      <c r="PM27" s="29"/>
      <c r="PN27" s="29"/>
      <c r="PO27" s="29"/>
      <c r="PP27" s="29"/>
      <c r="PQ27" s="29"/>
      <c r="PR27" s="29"/>
      <c r="PS27" s="29"/>
      <c r="PT27" s="29"/>
      <c r="PU27" s="29"/>
      <c r="PV27" s="29"/>
      <c r="PW27" s="29"/>
      <c r="PX27" s="29"/>
      <c r="PY27" s="29"/>
      <c r="PZ27" s="29"/>
      <c r="QA27" s="29"/>
      <c r="QB27" s="29"/>
      <c r="QC27" s="29"/>
      <c r="QD27" s="29"/>
      <c r="QE27" s="29"/>
      <c r="QF27" s="29"/>
      <c r="QG27" s="29"/>
      <c r="QH27" s="29"/>
      <c r="QI27" s="29"/>
      <c r="QJ27" s="29"/>
      <c r="QK27" s="29"/>
      <c r="QL27" s="29"/>
      <c r="QM27" s="29"/>
      <c r="QN27" s="29"/>
      <c r="QO27" s="29"/>
      <c r="QP27" s="29"/>
      <c r="QQ27" s="29"/>
      <c r="QR27" s="29"/>
      <c r="QS27" s="29"/>
      <c r="QT27" s="29"/>
      <c r="QU27" s="29"/>
      <c r="QV27" s="29"/>
      <c r="QW27" s="29"/>
      <c r="QX27" s="29"/>
      <c r="QY27" s="29"/>
      <c r="QZ27" s="29"/>
      <c r="RA27" s="29"/>
      <c r="RB27" s="29"/>
      <c r="RC27" s="29"/>
      <c r="RD27" s="29"/>
      <c r="RE27" s="29"/>
      <c r="RF27" s="29"/>
      <c r="RG27" s="29"/>
      <c r="RH27" s="29"/>
      <c r="RI27" s="29"/>
      <c r="RJ27" s="29"/>
      <c r="RK27" s="29"/>
      <c r="RL27" s="29"/>
      <c r="RM27" s="29"/>
      <c r="RN27" s="29"/>
      <c r="RO27" s="29"/>
      <c r="RP27" s="29"/>
      <c r="RQ27" s="29"/>
      <c r="RR27" s="29"/>
      <c r="RS27" s="29"/>
      <c r="RT27" s="29"/>
      <c r="RU27" s="29"/>
      <c r="RV27" s="29"/>
      <c r="RW27" s="29"/>
      <c r="RX27" s="29"/>
      <c r="RY27" s="29"/>
      <c r="RZ27" s="29"/>
      <c r="SA27" s="29"/>
      <c r="SB27" s="29"/>
      <c r="SC27" s="29"/>
      <c r="SD27" s="29"/>
      <c r="SE27" s="29"/>
      <c r="SF27" s="29"/>
      <c r="SG27" s="29"/>
      <c r="SH27" s="29"/>
      <c r="SI27" s="29"/>
      <c r="SJ27" s="29"/>
      <c r="SK27" s="29"/>
      <c r="SL27" s="29"/>
      <c r="SM27" s="29"/>
      <c r="SN27" s="29"/>
      <c r="SO27" s="29"/>
      <c r="SP27" s="29"/>
      <c r="SQ27" s="29"/>
      <c r="SR27" s="29"/>
      <c r="SS27" s="29"/>
      <c r="ST27" s="29"/>
      <c r="SU27" s="29"/>
      <c r="SV27" s="29"/>
      <c r="SW27" s="29"/>
      <c r="SX27" s="29"/>
      <c r="SY27" s="29"/>
      <c r="SZ27" s="29"/>
      <c r="TA27" s="29"/>
      <c r="TB27" s="29"/>
      <c r="TC27" s="29"/>
      <c r="TD27" s="29"/>
      <c r="TE27" s="29"/>
      <c r="TF27" s="29"/>
      <c r="TG27" s="29"/>
      <c r="TH27" s="29"/>
      <c r="TI27" s="29"/>
      <c r="TJ27" s="29"/>
      <c r="TK27" s="29"/>
      <c r="TL27" s="29"/>
      <c r="TM27" s="29"/>
      <c r="TN27" s="29"/>
      <c r="TO27" s="29"/>
      <c r="TP27" s="29"/>
      <c r="TQ27" s="29"/>
      <c r="TR27" s="29"/>
      <c r="TS27" s="29"/>
      <c r="TT27" s="29"/>
      <c r="TU27" s="29"/>
      <c r="TV27" s="29"/>
      <c r="TW27" s="29"/>
      <c r="TX27" s="29"/>
      <c r="TY27" s="29"/>
      <c r="TZ27" s="29"/>
      <c r="UA27" s="29"/>
      <c r="UB27" s="29"/>
      <c r="UC27" s="29"/>
      <c r="UD27" s="29"/>
      <c r="UE27" s="29"/>
      <c r="UF27" s="29"/>
      <c r="UG27" s="29"/>
      <c r="UH27" s="29"/>
      <c r="UI27" s="29"/>
      <c r="UJ27" s="29"/>
      <c r="UK27" s="29"/>
      <c r="UL27" s="29"/>
      <c r="UM27" s="29"/>
      <c r="UN27" s="29"/>
      <c r="UO27" s="29"/>
      <c r="UP27" s="29"/>
      <c r="UQ27" s="29"/>
      <c r="UR27" s="29"/>
      <c r="US27" s="29"/>
      <c r="UT27" s="29"/>
      <c r="UU27" s="29"/>
      <c r="UV27" s="29"/>
      <c r="UW27" s="29"/>
      <c r="UX27" s="29"/>
      <c r="UY27" s="29"/>
      <c r="UZ27" s="29"/>
      <c r="VA27" s="29"/>
      <c r="VB27" s="29"/>
      <c r="VC27" s="29"/>
      <c r="VD27" s="29"/>
      <c r="VE27" s="29"/>
      <c r="VF27" s="29"/>
      <c r="VG27" s="29"/>
      <c r="VH27" s="29"/>
      <c r="VI27" s="29"/>
      <c r="VJ27" s="29"/>
      <c r="VK27" s="29"/>
      <c r="VL27" s="29"/>
      <c r="VM27" s="29"/>
      <c r="VN27" s="29"/>
      <c r="VO27" s="29"/>
      <c r="VP27" s="29"/>
      <c r="VQ27" s="29"/>
      <c r="VR27" s="29"/>
      <c r="VS27" s="29"/>
      <c r="VT27" s="29"/>
      <c r="VU27" s="29"/>
      <c r="VV27" s="29"/>
      <c r="VW27" s="29"/>
      <c r="VX27" s="29"/>
      <c r="VY27" s="29"/>
      <c r="VZ27" s="29"/>
      <c r="WA27" s="29"/>
      <c r="WB27" s="29"/>
      <c r="WC27" s="29"/>
      <c r="WD27" s="29"/>
      <c r="WE27" s="29"/>
      <c r="WF27" s="29"/>
      <c r="WG27" s="29"/>
      <c r="WH27" s="29"/>
      <c r="WI27" s="29"/>
      <c r="WJ27" s="29"/>
      <c r="WK27" s="29"/>
      <c r="WL27" s="29"/>
      <c r="WM27" s="29"/>
      <c r="WN27" s="29"/>
      <c r="WO27" s="29"/>
      <c r="WP27" s="29"/>
      <c r="WQ27" s="29"/>
      <c r="WR27" s="29"/>
      <c r="WS27" s="29"/>
      <c r="WT27" s="29"/>
      <c r="WU27" s="29"/>
      <c r="WV27" s="29"/>
      <c r="WW27" s="29"/>
      <c r="WX27" s="29"/>
      <c r="WY27" s="29"/>
      <c r="WZ27" s="29"/>
      <c r="XA27" s="29"/>
      <c r="XB27" s="29"/>
      <c r="XC27" s="29"/>
      <c r="XD27" s="29"/>
      <c r="XE27" s="29"/>
      <c r="XF27" s="29"/>
      <c r="XG27" s="29"/>
      <c r="XH27" s="29"/>
      <c r="XI27" s="29"/>
      <c r="XJ27" s="29"/>
      <c r="XK27" s="29"/>
      <c r="XL27" s="29"/>
      <c r="XM27" s="29"/>
      <c r="XN27" s="29"/>
      <c r="XO27" s="29"/>
      <c r="XP27" s="29"/>
      <c r="XQ27" s="29"/>
      <c r="XR27" s="29"/>
      <c r="XS27" s="29"/>
      <c r="XT27" s="29"/>
      <c r="XU27" s="29"/>
      <c r="XV27" s="29"/>
      <c r="XW27" s="29"/>
      <c r="XX27" s="29"/>
      <c r="XY27" s="29"/>
      <c r="XZ27" s="29"/>
      <c r="YA27" s="29"/>
      <c r="YB27" s="29"/>
      <c r="YC27" s="29"/>
      <c r="YD27" s="29"/>
      <c r="YE27" s="29"/>
      <c r="YF27" s="29"/>
      <c r="YG27" s="29"/>
      <c r="YH27" s="29"/>
      <c r="YI27" s="29"/>
      <c r="YJ27" s="29"/>
      <c r="YK27" s="29"/>
      <c r="YL27" s="29"/>
      <c r="YM27" s="29"/>
      <c r="YN27" s="29"/>
      <c r="YO27" s="29"/>
      <c r="YP27" s="29"/>
      <c r="YQ27" s="29"/>
      <c r="YR27" s="29"/>
      <c r="YS27" s="29"/>
      <c r="YT27" s="29"/>
      <c r="YU27" s="29"/>
      <c r="YV27" s="29"/>
      <c r="YW27" s="29"/>
      <c r="YX27" s="29"/>
      <c r="YY27" s="29"/>
      <c r="YZ27" s="29"/>
      <c r="ZA27" s="29"/>
      <c r="ZB27" s="29"/>
      <c r="ZC27" s="29"/>
      <c r="ZD27" s="29"/>
      <c r="ZE27" s="29"/>
      <c r="ZF27" s="29"/>
      <c r="ZG27" s="29"/>
      <c r="ZH27" s="29"/>
      <c r="ZI27" s="29"/>
      <c r="ZJ27" s="29"/>
      <c r="ZK27" s="29"/>
      <c r="ZL27" s="29"/>
      <c r="ZM27" s="29"/>
      <c r="ZN27" s="29"/>
      <c r="ZO27" s="29"/>
      <c r="ZP27" s="29"/>
      <c r="ZQ27" s="29"/>
      <c r="ZR27" s="29"/>
      <c r="ZS27" s="29"/>
      <c r="ZT27" s="29"/>
      <c r="ZU27" s="29"/>
      <c r="ZV27" s="29"/>
      <c r="ZW27" s="29"/>
      <c r="ZX27" s="29"/>
      <c r="ZY27" s="29"/>
      <c r="ZZ27" s="29"/>
      <c r="AAA27" s="29"/>
      <c r="AAB27" s="29"/>
      <c r="AAC27" s="29"/>
      <c r="AAD27" s="29"/>
      <c r="AAE27" s="29"/>
      <c r="AAF27" s="29"/>
      <c r="AAG27" s="29"/>
      <c r="AAH27" s="29"/>
      <c r="AAI27" s="29"/>
      <c r="AAJ27" s="29"/>
      <c r="AAK27" s="29"/>
      <c r="AAL27" s="29"/>
      <c r="AAM27" s="29"/>
      <c r="AAN27" s="29"/>
      <c r="AAO27" s="29"/>
      <c r="AAP27" s="29"/>
      <c r="AAQ27" s="29"/>
      <c r="AAR27" s="29"/>
      <c r="AAS27" s="29"/>
      <c r="AAT27" s="29"/>
      <c r="AAU27" s="29"/>
      <c r="AAV27" s="29"/>
      <c r="AAW27" s="29"/>
      <c r="AAX27" s="29"/>
      <c r="AAY27" s="29"/>
      <c r="AAZ27" s="29"/>
      <c r="ABA27" s="29"/>
      <c r="ABB27" s="29"/>
      <c r="ABC27" s="29"/>
      <c r="ABD27" s="29"/>
      <c r="ABE27" s="29"/>
      <c r="ABF27" s="29"/>
      <c r="ABG27" s="29"/>
      <c r="ABH27" s="29"/>
      <c r="ABI27" s="29"/>
      <c r="ABJ27" s="29"/>
      <c r="ABK27" s="29"/>
      <c r="ABL27" s="29"/>
      <c r="ABM27" s="29"/>
      <c r="ABN27" s="29"/>
      <c r="ABO27" s="29"/>
      <c r="ABP27" s="29"/>
      <c r="ABQ27" s="29"/>
      <c r="ABR27" s="29"/>
      <c r="ABS27" s="29"/>
      <c r="ABT27" s="29"/>
      <c r="ABU27" s="29"/>
      <c r="ABV27" s="29"/>
      <c r="ABW27" s="29"/>
      <c r="ABX27" s="29"/>
      <c r="ABY27" s="29"/>
      <c r="ABZ27" s="29"/>
      <c r="ACA27" s="29"/>
      <c r="ACB27" s="29"/>
      <c r="ACC27" s="29"/>
      <c r="ACD27" s="29"/>
      <c r="ACE27" s="29"/>
      <c r="ACF27" s="29"/>
      <c r="ACG27" s="29"/>
      <c r="ACH27" s="29"/>
      <c r="ACI27" s="29"/>
      <c r="ACJ27" s="29"/>
      <c r="ACK27" s="29"/>
      <c r="ACL27" s="29"/>
      <c r="ACM27" s="29"/>
      <c r="ACN27" s="29"/>
      <c r="ACO27" s="29"/>
      <c r="ACP27" s="29"/>
      <c r="ACQ27" s="29"/>
      <c r="ACR27" s="29"/>
      <c r="ACS27" s="29"/>
      <c r="ACT27" s="29"/>
      <c r="ACU27" s="29"/>
      <c r="ACV27" s="29"/>
      <c r="ACW27" s="29"/>
      <c r="ACX27" s="29"/>
      <c r="ACY27" s="29"/>
      <c r="ACZ27" s="29"/>
      <c r="ADA27" s="29"/>
      <c r="ADB27" s="29"/>
      <c r="ADC27" s="29"/>
      <c r="ADD27" s="29"/>
      <c r="ADE27" s="29"/>
      <c r="ADF27" s="29"/>
      <c r="ADG27" s="29"/>
      <c r="ADH27" s="29"/>
      <c r="ADI27" s="29"/>
      <c r="ADJ27" s="29"/>
      <c r="ADK27" s="29"/>
      <c r="ADL27" s="29"/>
      <c r="ADM27" s="29"/>
      <c r="ADN27" s="29"/>
      <c r="ADO27" s="29"/>
      <c r="ADP27" s="29"/>
      <c r="ADQ27" s="29"/>
      <c r="ADR27" s="29"/>
      <c r="ADS27" s="29"/>
      <c r="ADT27" s="29"/>
      <c r="ADU27" s="29"/>
      <c r="ADV27" s="29"/>
      <c r="ADW27" s="29"/>
      <c r="ADX27" s="29"/>
      <c r="ADY27" s="29"/>
      <c r="ADZ27" s="29"/>
      <c r="AEA27" s="29"/>
      <c r="AEB27" s="29"/>
      <c r="AEC27" s="29"/>
      <c r="AED27" s="29"/>
      <c r="AEE27" s="29"/>
      <c r="AEF27" s="29"/>
      <c r="AEG27" s="29"/>
      <c r="AEH27" s="29"/>
      <c r="AEI27" s="29"/>
      <c r="AEJ27" s="29"/>
      <c r="AEK27" s="29"/>
      <c r="AEL27" s="29"/>
      <c r="AEM27" s="29"/>
      <c r="AEN27" s="29"/>
      <c r="AEO27" s="29"/>
      <c r="AEP27" s="29"/>
      <c r="AEQ27" s="29"/>
      <c r="AER27" s="29"/>
      <c r="AES27" s="29"/>
      <c r="AET27" s="29"/>
      <c r="AEU27" s="29"/>
      <c r="AEV27" s="29"/>
      <c r="AEW27" s="29"/>
      <c r="AEX27" s="29"/>
      <c r="AEY27" s="29"/>
      <c r="AEZ27" s="29"/>
      <c r="AFA27" s="29"/>
      <c r="AFB27" s="29"/>
      <c r="AFC27" s="29"/>
      <c r="AFD27" s="29"/>
      <c r="AFE27" s="29"/>
      <c r="AFF27" s="29"/>
      <c r="AFG27" s="29"/>
      <c r="AFH27" s="29"/>
      <c r="AFI27" s="29"/>
      <c r="AFJ27" s="29"/>
      <c r="AFK27" s="29"/>
      <c r="AFL27" s="29"/>
      <c r="AFM27" s="29"/>
      <c r="AFN27" s="29"/>
      <c r="AFO27" s="29"/>
      <c r="AFP27" s="29"/>
      <c r="AFQ27" s="29"/>
      <c r="AFR27" s="29"/>
      <c r="AFS27" s="29"/>
      <c r="AFT27" s="29"/>
      <c r="AFU27" s="29"/>
      <c r="AFV27" s="29"/>
      <c r="AFW27" s="29"/>
      <c r="AFX27" s="29"/>
      <c r="AFY27" s="29"/>
      <c r="AFZ27" s="29"/>
      <c r="AGA27" s="29"/>
      <c r="AGB27" s="29"/>
      <c r="AGC27" s="29"/>
      <c r="AGD27" s="29"/>
      <c r="AGE27" s="29"/>
      <c r="AGF27" s="29"/>
      <c r="AGG27" s="29"/>
      <c r="AGH27" s="29"/>
      <c r="AGI27" s="29"/>
      <c r="AGJ27" s="29"/>
      <c r="AGK27" s="29"/>
      <c r="AGL27" s="29"/>
      <c r="AGM27" s="29"/>
      <c r="AGN27" s="29"/>
      <c r="AGO27" s="29"/>
      <c r="AGP27" s="29"/>
      <c r="AGQ27" s="29"/>
      <c r="AGR27" s="29"/>
      <c r="AGS27" s="29"/>
      <c r="AGT27" s="29"/>
      <c r="AGU27" s="29"/>
      <c r="AGV27" s="29"/>
      <c r="AGW27" s="29"/>
      <c r="AGX27" s="29"/>
      <c r="AGY27" s="29"/>
      <c r="AGZ27" s="29"/>
      <c r="AHA27" s="29"/>
      <c r="AHB27" s="29"/>
      <c r="AHC27" s="29"/>
      <c r="AHD27" s="29"/>
      <c r="AHE27" s="29"/>
      <c r="AHF27" s="29"/>
      <c r="AHG27" s="29"/>
      <c r="AHH27" s="29"/>
      <c r="AHI27" s="29"/>
      <c r="AHJ27" s="29"/>
      <c r="AHK27" s="29"/>
      <c r="AHL27" s="29"/>
      <c r="AHM27" s="29"/>
      <c r="AHN27" s="29"/>
      <c r="AHO27" s="29"/>
      <c r="AHP27" s="29"/>
      <c r="AHQ27" s="29"/>
      <c r="AHR27" s="29"/>
      <c r="AHS27" s="29"/>
      <c r="AHT27" s="29"/>
      <c r="AHU27" s="29"/>
      <c r="AHV27" s="29"/>
      <c r="AHW27" s="29"/>
      <c r="AHX27" s="29"/>
      <c r="AHY27" s="29"/>
      <c r="AHZ27" s="29"/>
      <c r="AIA27" s="29"/>
      <c r="AIB27" s="29"/>
      <c r="AIC27" s="29"/>
      <c r="AID27" s="29"/>
      <c r="AIE27" s="29"/>
      <c r="AIF27" s="29"/>
      <c r="AIG27" s="29"/>
      <c r="AIH27" s="29"/>
      <c r="AII27" s="29"/>
      <c r="AIJ27" s="29"/>
      <c r="AIK27" s="29"/>
      <c r="AIL27" s="29"/>
      <c r="AIM27" s="29"/>
      <c r="AIN27" s="29"/>
      <c r="AIO27" s="29"/>
      <c r="AIP27" s="29"/>
      <c r="AIQ27" s="29"/>
      <c r="AIR27" s="29"/>
      <c r="AIS27" s="29"/>
      <c r="AIT27" s="29"/>
      <c r="AIU27" s="29"/>
      <c r="AIV27" s="29"/>
      <c r="AIW27" s="29"/>
      <c r="AIX27" s="29"/>
      <c r="AIY27" s="29"/>
      <c r="AIZ27" s="29"/>
      <c r="AJA27" s="29"/>
      <c r="AJB27" s="29"/>
      <c r="AJC27" s="29"/>
      <c r="AJD27" s="29"/>
      <c r="AJE27" s="29"/>
      <c r="AJF27" s="29"/>
      <c r="AJG27" s="29"/>
      <c r="AJH27" s="29"/>
      <c r="AJI27" s="29"/>
      <c r="AJJ27" s="29"/>
      <c r="AJK27" s="29"/>
      <c r="AJL27" s="29"/>
      <c r="AJM27" s="29"/>
      <c r="AJN27" s="29"/>
      <c r="AJO27" s="29"/>
      <c r="AJP27" s="29"/>
      <c r="AJQ27" s="29"/>
      <c r="AJR27" s="29"/>
      <c r="AJS27" s="29"/>
      <c r="AJT27" s="29"/>
      <c r="AJU27" s="29"/>
      <c r="AJV27" s="29"/>
      <c r="AJW27" s="29"/>
      <c r="AJX27" s="29"/>
      <c r="AJY27" s="29"/>
      <c r="AJZ27" s="29"/>
      <c r="AKA27" s="29"/>
      <c r="AKB27" s="29"/>
      <c r="AKC27" s="29"/>
      <c r="AKD27" s="29"/>
      <c r="AKE27" s="29"/>
      <c r="AKF27" s="29"/>
      <c r="AKG27" s="29"/>
      <c r="AKH27" s="29"/>
      <c r="AKI27" s="29"/>
      <c r="AKJ27" s="29"/>
      <c r="AKK27" s="29"/>
      <c r="AKL27" s="29"/>
      <c r="AKM27" s="29"/>
      <c r="AKN27" s="29"/>
      <c r="AKO27" s="29"/>
      <c r="AKP27" s="29"/>
      <c r="AKQ27" s="29"/>
      <c r="AKR27" s="29"/>
      <c r="AKS27" s="29"/>
      <c r="AKT27" s="29"/>
      <c r="AKU27" s="29"/>
      <c r="AKV27" s="29"/>
      <c r="AKW27" s="29"/>
      <c r="AKX27" s="29"/>
      <c r="AKY27" s="29"/>
      <c r="AKZ27" s="29"/>
      <c r="ALA27" s="29"/>
      <c r="ALB27" s="29"/>
      <c r="ALC27" s="29"/>
      <c r="ALD27" s="29"/>
      <c r="ALE27" s="29"/>
      <c r="ALF27" s="29"/>
      <c r="ALG27" s="29"/>
      <c r="ALH27" s="29"/>
      <c r="ALI27" s="29"/>
      <c r="ALJ27" s="29"/>
      <c r="ALK27" s="29"/>
      <c r="ALL27" s="29"/>
      <c r="ALM27" s="29"/>
      <c r="ALN27" s="29"/>
      <c r="ALO27" s="29"/>
      <c r="ALP27" s="29"/>
      <c r="ALQ27" s="29"/>
      <c r="ALR27" s="29"/>
      <c r="ALS27" s="29"/>
      <c r="ALT27" s="29"/>
      <c r="ALU27" s="29"/>
      <c r="ALV27" s="29"/>
      <c r="ALW27" s="29"/>
      <c r="ALX27" s="29"/>
      <c r="ALY27" s="29"/>
      <c r="ALZ27" s="29"/>
      <c r="AMA27" s="29"/>
      <c r="AMB27" s="29"/>
      <c r="AMC27" s="29"/>
      <c r="AMD27" s="29"/>
      <c r="AME27" s="29"/>
    </row>
    <row r="28" customFormat="false" ht="22.5" hidden="false" customHeight="true" outlineLevel="0" collapsed="false">
      <c r="A28" s="29"/>
      <c r="B28" s="30"/>
      <c r="C28" s="34" t="s">
        <v>26</v>
      </c>
      <c r="D28" s="34" t="s">
        <v>27</v>
      </c>
      <c r="E28" s="34" t="s">
        <v>28</v>
      </c>
      <c r="F28" s="35" t="s">
        <v>26</v>
      </c>
      <c r="G28" s="35" t="s">
        <v>27</v>
      </c>
      <c r="H28" s="35" t="s">
        <v>28</v>
      </c>
      <c r="I28" s="35" t="s">
        <v>29</v>
      </c>
      <c r="J28" s="29"/>
      <c r="K28" s="29"/>
      <c r="L28" s="29"/>
      <c r="M28" s="29"/>
      <c r="N28" s="29"/>
      <c r="O28" s="29"/>
      <c r="P28" s="29"/>
      <c r="Q28" s="29"/>
      <c r="R28" s="2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  <c r="AF28" s="29"/>
      <c r="AG28" s="29"/>
      <c r="AH28" s="29"/>
      <c r="AI28" s="29"/>
      <c r="AJ28" s="29"/>
      <c r="AK28" s="29"/>
      <c r="AL28" s="29"/>
      <c r="AM28" s="29"/>
      <c r="AN28" s="29"/>
      <c r="AO28" s="29"/>
      <c r="AP28" s="29"/>
      <c r="AQ28" s="29"/>
      <c r="AR28" s="29"/>
      <c r="AS28" s="29"/>
      <c r="AT28" s="29"/>
      <c r="AU28" s="29"/>
      <c r="AV28" s="29"/>
      <c r="AW28" s="29"/>
      <c r="AX28" s="29"/>
      <c r="AY28" s="29"/>
      <c r="AZ28" s="29"/>
      <c r="BA28" s="29"/>
      <c r="BB28" s="29"/>
      <c r="BC28" s="29"/>
      <c r="BD28" s="29"/>
      <c r="BE28" s="29"/>
      <c r="BF28" s="29"/>
      <c r="BG28" s="29"/>
      <c r="BH28" s="29"/>
      <c r="BI28" s="29"/>
      <c r="BJ28" s="29"/>
      <c r="BK28" s="29"/>
      <c r="BL28" s="29"/>
      <c r="BM28" s="29"/>
      <c r="BN28" s="29"/>
      <c r="BO28" s="29"/>
      <c r="BP28" s="29"/>
      <c r="BQ28" s="29"/>
      <c r="BR28" s="29"/>
      <c r="BS28" s="29"/>
      <c r="BT28" s="29"/>
      <c r="BU28" s="29"/>
      <c r="BV28" s="29"/>
      <c r="BW28" s="29"/>
      <c r="BX28" s="29"/>
      <c r="BY28" s="29"/>
      <c r="BZ28" s="29"/>
      <c r="CA28" s="29"/>
      <c r="CB28" s="29"/>
      <c r="CC28" s="29"/>
      <c r="CD28" s="29"/>
      <c r="CE28" s="29"/>
      <c r="CF28" s="29"/>
      <c r="CG28" s="29"/>
      <c r="CH28" s="29"/>
      <c r="CI28" s="29"/>
      <c r="CJ28" s="29"/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  <c r="DR28" s="29"/>
      <c r="DS28" s="29"/>
      <c r="DT28" s="29"/>
      <c r="DU28" s="29"/>
      <c r="DV28" s="29"/>
      <c r="DW28" s="29"/>
      <c r="DX28" s="29"/>
      <c r="DY28" s="29"/>
      <c r="DZ28" s="29"/>
      <c r="EA28" s="29"/>
      <c r="EB28" s="29"/>
      <c r="EC28" s="29"/>
      <c r="ED28" s="29"/>
      <c r="EE28" s="29"/>
      <c r="EF28" s="29"/>
      <c r="EG28" s="29"/>
      <c r="EH28" s="29"/>
      <c r="EI28" s="29"/>
      <c r="EJ28" s="29"/>
      <c r="EK28" s="29"/>
      <c r="EL28" s="29"/>
      <c r="EM28" s="29"/>
      <c r="EN28" s="29"/>
      <c r="EO28" s="29"/>
      <c r="EP28" s="29"/>
      <c r="EQ28" s="29"/>
      <c r="ER28" s="29"/>
      <c r="ES28" s="29"/>
      <c r="ET28" s="29"/>
      <c r="EU28" s="29"/>
      <c r="EV28" s="29"/>
      <c r="EW28" s="29"/>
      <c r="EX28" s="29"/>
      <c r="EY28" s="29"/>
      <c r="EZ28" s="29"/>
      <c r="FA28" s="29"/>
      <c r="FB28" s="29"/>
      <c r="FC28" s="29"/>
      <c r="FD28" s="29"/>
      <c r="FE28" s="29"/>
      <c r="FF28" s="29"/>
      <c r="FG28" s="29"/>
      <c r="FH28" s="29"/>
      <c r="FI28" s="29"/>
      <c r="FJ28" s="29"/>
      <c r="FK28" s="29"/>
      <c r="FL28" s="29"/>
      <c r="FM28" s="29"/>
      <c r="FN28" s="29"/>
      <c r="FO28" s="29"/>
      <c r="FP28" s="29"/>
      <c r="FQ28" s="29"/>
      <c r="FR28" s="29"/>
      <c r="FS28" s="29"/>
      <c r="FT28" s="29"/>
      <c r="FU28" s="29"/>
      <c r="FV28" s="29"/>
      <c r="FW28" s="29"/>
      <c r="FX28" s="29"/>
      <c r="FY28" s="29"/>
      <c r="FZ28" s="29"/>
      <c r="GA28" s="29"/>
      <c r="GB28" s="29"/>
      <c r="GC28" s="29"/>
      <c r="GD28" s="29"/>
      <c r="GE28" s="29"/>
      <c r="GF28" s="29"/>
      <c r="GG28" s="29"/>
      <c r="GH28" s="29"/>
      <c r="GI28" s="29"/>
      <c r="GJ28" s="29"/>
      <c r="GK28" s="29"/>
      <c r="GL28" s="29"/>
      <c r="GM28" s="29"/>
      <c r="GN28" s="29"/>
      <c r="GO28" s="29"/>
      <c r="GP28" s="29"/>
      <c r="GQ28" s="29"/>
      <c r="GR28" s="29"/>
      <c r="GS28" s="29"/>
      <c r="GT28" s="29"/>
      <c r="GU28" s="29"/>
      <c r="GV28" s="29"/>
      <c r="GW28" s="29"/>
      <c r="GX28" s="29"/>
      <c r="GY28" s="29"/>
      <c r="GZ28" s="29"/>
      <c r="HA28" s="29"/>
      <c r="HB28" s="29"/>
      <c r="HC28" s="29"/>
      <c r="HD28" s="29"/>
      <c r="HE28" s="29"/>
      <c r="HF28" s="29"/>
      <c r="HG28" s="29"/>
      <c r="HH28" s="29"/>
      <c r="HI28" s="29"/>
      <c r="HJ28" s="29"/>
      <c r="HK28" s="29"/>
      <c r="HL28" s="29"/>
      <c r="HM28" s="29"/>
      <c r="HN28" s="29"/>
      <c r="HO28" s="29"/>
      <c r="HP28" s="29"/>
      <c r="HQ28" s="29"/>
      <c r="HR28" s="29"/>
      <c r="HS28" s="29"/>
      <c r="HT28" s="29"/>
      <c r="HU28" s="29"/>
      <c r="HV28" s="29"/>
      <c r="HW28" s="29"/>
      <c r="HX28" s="29"/>
      <c r="HY28" s="29"/>
      <c r="HZ28" s="29"/>
      <c r="IA28" s="29"/>
      <c r="IB28" s="29"/>
      <c r="IC28" s="29"/>
      <c r="ID28" s="29"/>
      <c r="IE28" s="29"/>
      <c r="IF28" s="29"/>
      <c r="IG28" s="29"/>
      <c r="IH28" s="29"/>
      <c r="II28" s="29"/>
      <c r="IJ28" s="29"/>
      <c r="IK28" s="29"/>
      <c r="IL28" s="29"/>
      <c r="IM28" s="29"/>
      <c r="IN28" s="29"/>
      <c r="IO28" s="29"/>
      <c r="IP28" s="33"/>
      <c r="IQ28" s="29"/>
      <c r="IR28" s="29"/>
      <c r="IS28" s="29"/>
      <c r="IT28" s="29"/>
      <c r="IU28" s="29"/>
      <c r="IV28" s="29"/>
      <c r="IW28" s="29"/>
      <c r="IX28" s="29"/>
      <c r="IY28" s="29"/>
      <c r="IZ28" s="29"/>
      <c r="JA28" s="29"/>
      <c r="JB28" s="29"/>
      <c r="JC28" s="29"/>
      <c r="JD28" s="29"/>
      <c r="JE28" s="29"/>
      <c r="JF28" s="29"/>
      <c r="JG28" s="29"/>
      <c r="JH28" s="29"/>
      <c r="JI28" s="29"/>
      <c r="JJ28" s="29"/>
      <c r="JK28" s="29"/>
      <c r="JL28" s="29"/>
      <c r="JM28" s="29"/>
      <c r="JN28" s="29"/>
      <c r="JO28" s="29"/>
      <c r="JP28" s="29"/>
      <c r="JQ28" s="29"/>
      <c r="JR28" s="29"/>
      <c r="JS28" s="29"/>
      <c r="JT28" s="29"/>
      <c r="JU28" s="29"/>
      <c r="JV28" s="29"/>
      <c r="JW28" s="29"/>
      <c r="JX28" s="29"/>
      <c r="JY28" s="29"/>
      <c r="JZ28" s="29"/>
      <c r="KA28" s="29"/>
      <c r="KB28" s="29"/>
      <c r="KC28" s="29"/>
      <c r="KD28" s="29"/>
      <c r="KE28" s="29"/>
      <c r="KF28" s="29"/>
      <c r="KG28" s="29"/>
      <c r="KH28" s="29"/>
      <c r="KI28" s="29"/>
      <c r="KJ28" s="29"/>
      <c r="KK28" s="29"/>
      <c r="KL28" s="29"/>
      <c r="KM28" s="29"/>
      <c r="KN28" s="29"/>
      <c r="KO28" s="29"/>
      <c r="KP28" s="29"/>
      <c r="KQ28" s="29"/>
      <c r="KR28" s="29"/>
      <c r="KS28" s="29"/>
      <c r="KT28" s="29"/>
      <c r="KU28" s="29"/>
      <c r="KV28" s="29"/>
      <c r="KW28" s="29"/>
      <c r="KX28" s="29"/>
      <c r="KY28" s="29"/>
      <c r="KZ28" s="29"/>
      <c r="LA28" s="29"/>
      <c r="LB28" s="29"/>
      <c r="LC28" s="29"/>
      <c r="LD28" s="29"/>
      <c r="LE28" s="29"/>
      <c r="LF28" s="29"/>
      <c r="LG28" s="29"/>
      <c r="LH28" s="29"/>
      <c r="LI28" s="29"/>
      <c r="LJ28" s="29"/>
      <c r="LK28" s="29"/>
      <c r="LL28" s="29"/>
      <c r="LM28" s="29"/>
      <c r="LN28" s="29"/>
      <c r="LO28" s="29"/>
      <c r="LP28" s="29"/>
      <c r="LQ28" s="29"/>
      <c r="LR28" s="29"/>
      <c r="LS28" s="29"/>
      <c r="LT28" s="29"/>
      <c r="LU28" s="29"/>
      <c r="LV28" s="29"/>
      <c r="LW28" s="29"/>
      <c r="LX28" s="29"/>
      <c r="LY28" s="29"/>
      <c r="LZ28" s="29"/>
      <c r="MA28" s="29"/>
      <c r="MB28" s="29"/>
      <c r="MC28" s="29"/>
      <c r="MD28" s="29"/>
      <c r="ME28" s="29"/>
      <c r="MF28" s="29"/>
      <c r="MG28" s="29"/>
      <c r="MH28" s="29"/>
      <c r="MI28" s="29"/>
      <c r="MJ28" s="29"/>
      <c r="MK28" s="29"/>
      <c r="ML28" s="29"/>
      <c r="MM28" s="29"/>
      <c r="MN28" s="29"/>
      <c r="MO28" s="29"/>
      <c r="MP28" s="29"/>
      <c r="MQ28" s="29"/>
      <c r="MR28" s="29"/>
      <c r="MS28" s="29"/>
      <c r="MT28" s="29"/>
      <c r="MU28" s="29"/>
      <c r="MV28" s="29"/>
      <c r="MW28" s="29"/>
      <c r="MX28" s="29"/>
      <c r="MY28" s="29"/>
      <c r="MZ28" s="29"/>
      <c r="NA28" s="29"/>
      <c r="NB28" s="29"/>
      <c r="NC28" s="29"/>
      <c r="ND28" s="29"/>
      <c r="NE28" s="29"/>
      <c r="NF28" s="29"/>
      <c r="NG28" s="29"/>
      <c r="NH28" s="29"/>
      <c r="NI28" s="29"/>
      <c r="NJ28" s="29"/>
      <c r="NK28" s="29"/>
      <c r="NL28" s="29"/>
      <c r="NM28" s="29"/>
      <c r="NN28" s="29"/>
      <c r="NO28" s="29"/>
      <c r="NP28" s="29"/>
      <c r="NQ28" s="29"/>
      <c r="NR28" s="29"/>
      <c r="NS28" s="29"/>
      <c r="NT28" s="29"/>
      <c r="NU28" s="29"/>
      <c r="NV28" s="29"/>
      <c r="NW28" s="29"/>
      <c r="NX28" s="29"/>
      <c r="NY28" s="29"/>
      <c r="NZ28" s="29"/>
      <c r="OA28" s="29"/>
      <c r="OB28" s="29"/>
      <c r="OC28" s="29"/>
      <c r="OD28" s="29"/>
      <c r="OE28" s="29"/>
      <c r="OF28" s="29"/>
      <c r="OG28" s="29"/>
      <c r="OH28" s="29"/>
      <c r="OI28" s="29"/>
      <c r="OJ28" s="29"/>
      <c r="OK28" s="29"/>
      <c r="OL28" s="29"/>
      <c r="OM28" s="29"/>
      <c r="ON28" s="29"/>
      <c r="OO28" s="29"/>
      <c r="OP28" s="29"/>
      <c r="OQ28" s="29"/>
      <c r="OR28" s="29"/>
      <c r="OS28" s="29"/>
      <c r="OT28" s="29"/>
      <c r="OU28" s="29"/>
      <c r="OV28" s="29"/>
      <c r="OW28" s="29"/>
      <c r="OX28" s="29"/>
      <c r="OY28" s="29"/>
      <c r="OZ28" s="29"/>
      <c r="PA28" s="29"/>
      <c r="PB28" s="29"/>
      <c r="PC28" s="29"/>
      <c r="PD28" s="29"/>
      <c r="PE28" s="29"/>
      <c r="PF28" s="29"/>
      <c r="PG28" s="29"/>
      <c r="PH28" s="29"/>
      <c r="PI28" s="29"/>
      <c r="PJ28" s="29"/>
      <c r="PK28" s="29"/>
      <c r="PL28" s="29"/>
      <c r="PM28" s="29"/>
      <c r="PN28" s="29"/>
      <c r="PO28" s="29"/>
      <c r="PP28" s="29"/>
      <c r="PQ28" s="29"/>
      <c r="PR28" s="29"/>
      <c r="PS28" s="29"/>
      <c r="PT28" s="29"/>
      <c r="PU28" s="29"/>
      <c r="PV28" s="29"/>
      <c r="PW28" s="29"/>
      <c r="PX28" s="29"/>
      <c r="PY28" s="29"/>
      <c r="PZ28" s="29"/>
      <c r="QA28" s="29"/>
      <c r="QB28" s="29"/>
      <c r="QC28" s="29"/>
      <c r="QD28" s="29"/>
      <c r="QE28" s="29"/>
      <c r="QF28" s="29"/>
      <c r="QG28" s="29"/>
      <c r="QH28" s="29"/>
      <c r="QI28" s="29"/>
      <c r="QJ28" s="29"/>
      <c r="QK28" s="29"/>
      <c r="QL28" s="29"/>
      <c r="QM28" s="29"/>
      <c r="QN28" s="29"/>
      <c r="QO28" s="29"/>
      <c r="QP28" s="29"/>
      <c r="QQ28" s="29"/>
      <c r="QR28" s="29"/>
      <c r="QS28" s="29"/>
      <c r="QT28" s="29"/>
      <c r="QU28" s="29"/>
      <c r="QV28" s="29"/>
      <c r="QW28" s="29"/>
      <c r="QX28" s="29"/>
      <c r="QY28" s="29"/>
      <c r="QZ28" s="29"/>
      <c r="RA28" s="29"/>
      <c r="RB28" s="29"/>
      <c r="RC28" s="29"/>
      <c r="RD28" s="29"/>
      <c r="RE28" s="29"/>
      <c r="RF28" s="29"/>
      <c r="RG28" s="29"/>
      <c r="RH28" s="29"/>
      <c r="RI28" s="29"/>
      <c r="RJ28" s="29"/>
      <c r="RK28" s="29"/>
      <c r="RL28" s="29"/>
      <c r="RM28" s="29"/>
      <c r="RN28" s="29"/>
      <c r="RO28" s="29"/>
      <c r="RP28" s="29"/>
      <c r="RQ28" s="29"/>
      <c r="RR28" s="29"/>
      <c r="RS28" s="29"/>
      <c r="RT28" s="29"/>
      <c r="RU28" s="29"/>
      <c r="RV28" s="29"/>
      <c r="RW28" s="29"/>
      <c r="RX28" s="29"/>
      <c r="RY28" s="29"/>
      <c r="RZ28" s="29"/>
      <c r="SA28" s="29"/>
      <c r="SB28" s="29"/>
      <c r="SC28" s="29"/>
      <c r="SD28" s="29"/>
      <c r="SE28" s="29"/>
      <c r="SF28" s="29"/>
      <c r="SG28" s="29"/>
      <c r="SH28" s="29"/>
      <c r="SI28" s="29"/>
      <c r="SJ28" s="29"/>
      <c r="SK28" s="29"/>
      <c r="SL28" s="29"/>
      <c r="SM28" s="29"/>
      <c r="SN28" s="29"/>
      <c r="SO28" s="29"/>
      <c r="SP28" s="29"/>
      <c r="SQ28" s="29"/>
      <c r="SR28" s="29"/>
      <c r="SS28" s="29"/>
      <c r="ST28" s="29"/>
      <c r="SU28" s="29"/>
      <c r="SV28" s="29"/>
      <c r="SW28" s="29"/>
      <c r="SX28" s="29"/>
      <c r="SY28" s="29"/>
      <c r="SZ28" s="29"/>
      <c r="TA28" s="29"/>
      <c r="TB28" s="29"/>
      <c r="TC28" s="29"/>
      <c r="TD28" s="29"/>
      <c r="TE28" s="29"/>
      <c r="TF28" s="29"/>
      <c r="TG28" s="29"/>
      <c r="TH28" s="29"/>
      <c r="TI28" s="29"/>
      <c r="TJ28" s="29"/>
      <c r="TK28" s="29"/>
      <c r="TL28" s="29"/>
      <c r="TM28" s="29"/>
      <c r="TN28" s="29"/>
      <c r="TO28" s="29"/>
      <c r="TP28" s="29"/>
      <c r="TQ28" s="29"/>
      <c r="TR28" s="29"/>
      <c r="TS28" s="29"/>
      <c r="TT28" s="29"/>
      <c r="TU28" s="29"/>
      <c r="TV28" s="29"/>
      <c r="TW28" s="29"/>
      <c r="TX28" s="29"/>
      <c r="TY28" s="29"/>
      <c r="TZ28" s="29"/>
      <c r="UA28" s="29"/>
      <c r="UB28" s="29"/>
      <c r="UC28" s="29"/>
      <c r="UD28" s="29"/>
      <c r="UE28" s="29"/>
      <c r="UF28" s="29"/>
      <c r="UG28" s="29"/>
      <c r="UH28" s="29"/>
      <c r="UI28" s="29"/>
      <c r="UJ28" s="29"/>
      <c r="UK28" s="29"/>
      <c r="UL28" s="29"/>
      <c r="UM28" s="29"/>
      <c r="UN28" s="29"/>
      <c r="UO28" s="29"/>
      <c r="UP28" s="29"/>
      <c r="UQ28" s="29"/>
      <c r="UR28" s="29"/>
      <c r="US28" s="29"/>
      <c r="UT28" s="29"/>
      <c r="UU28" s="29"/>
      <c r="UV28" s="29"/>
      <c r="UW28" s="29"/>
      <c r="UX28" s="29"/>
      <c r="UY28" s="29"/>
      <c r="UZ28" s="29"/>
      <c r="VA28" s="29"/>
      <c r="VB28" s="29"/>
      <c r="VC28" s="29"/>
      <c r="VD28" s="29"/>
      <c r="VE28" s="29"/>
      <c r="VF28" s="29"/>
      <c r="VG28" s="29"/>
      <c r="VH28" s="29"/>
      <c r="VI28" s="29"/>
      <c r="VJ28" s="29"/>
      <c r="VK28" s="29"/>
      <c r="VL28" s="29"/>
      <c r="VM28" s="29"/>
      <c r="VN28" s="29"/>
      <c r="VO28" s="29"/>
      <c r="VP28" s="29"/>
      <c r="VQ28" s="29"/>
      <c r="VR28" s="29"/>
      <c r="VS28" s="29"/>
      <c r="VT28" s="29"/>
      <c r="VU28" s="29"/>
      <c r="VV28" s="29"/>
      <c r="VW28" s="29"/>
      <c r="VX28" s="29"/>
      <c r="VY28" s="29"/>
      <c r="VZ28" s="29"/>
      <c r="WA28" s="29"/>
      <c r="WB28" s="29"/>
      <c r="WC28" s="29"/>
      <c r="WD28" s="29"/>
      <c r="WE28" s="29"/>
      <c r="WF28" s="29"/>
      <c r="WG28" s="29"/>
      <c r="WH28" s="29"/>
      <c r="WI28" s="29"/>
      <c r="WJ28" s="29"/>
      <c r="WK28" s="29"/>
      <c r="WL28" s="29"/>
      <c r="WM28" s="29"/>
      <c r="WN28" s="29"/>
      <c r="WO28" s="29"/>
      <c r="WP28" s="29"/>
      <c r="WQ28" s="29"/>
      <c r="WR28" s="29"/>
      <c r="WS28" s="29"/>
      <c r="WT28" s="29"/>
      <c r="WU28" s="29"/>
      <c r="WV28" s="29"/>
      <c r="WW28" s="29"/>
      <c r="WX28" s="29"/>
      <c r="WY28" s="29"/>
      <c r="WZ28" s="29"/>
      <c r="XA28" s="29"/>
      <c r="XB28" s="29"/>
      <c r="XC28" s="29"/>
      <c r="XD28" s="29"/>
      <c r="XE28" s="29"/>
      <c r="XF28" s="29"/>
      <c r="XG28" s="29"/>
      <c r="XH28" s="29"/>
      <c r="XI28" s="29"/>
      <c r="XJ28" s="29"/>
      <c r="XK28" s="29"/>
      <c r="XL28" s="29"/>
      <c r="XM28" s="29"/>
      <c r="XN28" s="29"/>
      <c r="XO28" s="29"/>
      <c r="XP28" s="29"/>
      <c r="XQ28" s="29"/>
      <c r="XR28" s="29"/>
      <c r="XS28" s="29"/>
      <c r="XT28" s="29"/>
      <c r="XU28" s="29"/>
      <c r="XV28" s="29"/>
      <c r="XW28" s="29"/>
      <c r="XX28" s="29"/>
      <c r="XY28" s="29"/>
      <c r="XZ28" s="29"/>
      <c r="YA28" s="29"/>
      <c r="YB28" s="29"/>
      <c r="YC28" s="29"/>
      <c r="YD28" s="29"/>
      <c r="YE28" s="29"/>
      <c r="YF28" s="29"/>
      <c r="YG28" s="29"/>
      <c r="YH28" s="29"/>
      <c r="YI28" s="29"/>
      <c r="YJ28" s="29"/>
      <c r="YK28" s="29"/>
      <c r="YL28" s="29"/>
      <c r="YM28" s="29"/>
      <c r="YN28" s="29"/>
      <c r="YO28" s="29"/>
      <c r="YP28" s="29"/>
      <c r="YQ28" s="29"/>
      <c r="YR28" s="29"/>
      <c r="YS28" s="29"/>
      <c r="YT28" s="29"/>
      <c r="YU28" s="29"/>
      <c r="YV28" s="29"/>
      <c r="YW28" s="29"/>
      <c r="YX28" s="29"/>
      <c r="YY28" s="29"/>
      <c r="YZ28" s="29"/>
      <c r="ZA28" s="29"/>
      <c r="ZB28" s="29"/>
      <c r="ZC28" s="29"/>
      <c r="ZD28" s="29"/>
      <c r="ZE28" s="29"/>
      <c r="ZF28" s="29"/>
      <c r="ZG28" s="29"/>
      <c r="ZH28" s="29"/>
      <c r="ZI28" s="29"/>
      <c r="ZJ28" s="29"/>
      <c r="ZK28" s="29"/>
      <c r="ZL28" s="29"/>
      <c r="ZM28" s="29"/>
      <c r="ZN28" s="29"/>
      <c r="ZO28" s="29"/>
      <c r="ZP28" s="29"/>
      <c r="ZQ28" s="29"/>
      <c r="ZR28" s="29"/>
      <c r="ZS28" s="29"/>
      <c r="ZT28" s="29"/>
      <c r="ZU28" s="29"/>
      <c r="ZV28" s="29"/>
      <c r="ZW28" s="29"/>
      <c r="ZX28" s="29"/>
      <c r="ZY28" s="29"/>
      <c r="ZZ28" s="29"/>
      <c r="AAA28" s="29"/>
      <c r="AAB28" s="29"/>
      <c r="AAC28" s="29"/>
      <c r="AAD28" s="29"/>
      <c r="AAE28" s="29"/>
      <c r="AAF28" s="29"/>
      <c r="AAG28" s="29"/>
      <c r="AAH28" s="29"/>
      <c r="AAI28" s="29"/>
      <c r="AAJ28" s="29"/>
      <c r="AAK28" s="29"/>
      <c r="AAL28" s="29"/>
      <c r="AAM28" s="29"/>
      <c r="AAN28" s="29"/>
      <c r="AAO28" s="29"/>
      <c r="AAP28" s="29"/>
      <c r="AAQ28" s="29"/>
      <c r="AAR28" s="29"/>
      <c r="AAS28" s="29"/>
      <c r="AAT28" s="29"/>
      <c r="AAU28" s="29"/>
      <c r="AAV28" s="29"/>
      <c r="AAW28" s="29"/>
      <c r="AAX28" s="29"/>
      <c r="AAY28" s="29"/>
      <c r="AAZ28" s="29"/>
      <c r="ABA28" s="29"/>
      <c r="ABB28" s="29"/>
      <c r="ABC28" s="29"/>
      <c r="ABD28" s="29"/>
      <c r="ABE28" s="29"/>
      <c r="ABF28" s="29"/>
      <c r="ABG28" s="29"/>
      <c r="ABH28" s="29"/>
      <c r="ABI28" s="29"/>
      <c r="ABJ28" s="29"/>
      <c r="ABK28" s="29"/>
      <c r="ABL28" s="29"/>
      <c r="ABM28" s="29"/>
      <c r="ABN28" s="29"/>
      <c r="ABO28" s="29"/>
      <c r="ABP28" s="29"/>
      <c r="ABQ28" s="29"/>
      <c r="ABR28" s="29"/>
      <c r="ABS28" s="29"/>
      <c r="ABT28" s="29"/>
      <c r="ABU28" s="29"/>
      <c r="ABV28" s="29"/>
      <c r="ABW28" s="29"/>
      <c r="ABX28" s="29"/>
      <c r="ABY28" s="29"/>
      <c r="ABZ28" s="29"/>
      <c r="ACA28" s="29"/>
      <c r="ACB28" s="29"/>
      <c r="ACC28" s="29"/>
      <c r="ACD28" s="29"/>
      <c r="ACE28" s="29"/>
      <c r="ACF28" s="29"/>
      <c r="ACG28" s="29"/>
      <c r="ACH28" s="29"/>
      <c r="ACI28" s="29"/>
      <c r="ACJ28" s="29"/>
      <c r="ACK28" s="29"/>
      <c r="ACL28" s="29"/>
      <c r="ACM28" s="29"/>
      <c r="ACN28" s="29"/>
      <c r="ACO28" s="29"/>
      <c r="ACP28" s="29"/>
      <c r="ACQ28" s="29"/>
      <c r="ACR28" s="29"/>
      <c r="ACS28" s="29"/>
      <c r="ACT28" s="29"/>
      <c r="ACU28" s="29"/>
      <c r="ACV28" s="29"/>
      <c r="ACW28" s="29"/>
      <c r="ACX28" s="29"/>
      <c r="ACY28" s="29"/>
      <c r="ACZ28" s="29"/>
      <c r="ADA28" s="29"/>
      <c r="ADB28" s="29"/>
      <c r="ADC28" s="29"/>
      <c r="ADD28" s="29"/>
      <c r="ADE28" s="29"/>
      <c r="ADF28" s="29"/>
      <c r="ADG28" s="29"/>
      <c r="ADH28" s="29"/>
      <c r="ADI28" s="29"/>
      <c r="ADJ28" s="29"/>
      <c r="ADK28" s="29"/>
      <c r="ADL28" s="29"/>
      <c r="ADM28" s="29"/>
      <c r="ADN28" s="29"/>
      <c r="ADO28" s="29"/>
      <c r="ADP28" s="29"/>
      <c r="ADQ28" s="29"/>
      <c r="ADR28" s="29"/>
      <c r="ADS28" s="29"/>
      <c r="ADT28" s="29"/>
      <c r="ADU28" s="29"/>
      <c r="ADV28" s="29"/>
      <c r="ADW28" s="29"/>
      <c r="ADX28" s="29"/>
      <c r="ADY28" s="29"/>
      <c r="ADZ28" s="29"/>
      <c r="AEA28" s="29"/>
      <c r="AEB28" s="29"/>
      <c r="AEC28" s="29"/>
      <c r="AED28" s="29"/>
      <c r="AEE28" s="29"/>
      <c r="AEF28" s="29"/>
      <c r="AEG28" s="29"/>
      <c r="AEH28" s="29"/>
      <c r="AEI28" s="29"/>
      <c r="AEJ28" s="29"/>
      <c r="AEK28" s="29"/>
      <c r="AEL28" s="29"/>
      <c r="AEM28" s="29"/>
      <c r="AEN28" s="29"/>
      <c r="AEO28" s="29"/>
      <c r="AEP28" s="29"/>
      <c r="AEQ28" s="29"/>
      <c r="AER28" s="29"/>
      <c r="AES28" s="29"/>
      <c r="AET28" s="29"/>
      <c r="AEU28" s="29"/>
      <c r="AEV28" s="29"/>
      <c r="AEW28" s="29"/>
      <c r="AEX28" s="29"/>
      <c r="AEY28" s="29"/>
      <c r="AEZ28" s="29"/>
      <c r="AFA28" s="29"/>
      <c r="AFB28" s="29"/>
      <c r="AFC28" s="29"/>
      <c r="AFD28" s="29"/>
      <c r="AFE28" s="29"/>
      <c r="AFF28" s="29"/>
      <c r="AFG28" s="29"/>
      <c r="AFH28" s="29"/>
      <c r="AFI28" s="29"/>
      <c r="AFJ28" s="29"/>
      <c r="AFK28" s="29"/>
      <c r="AFL28" s="29"/>
      <c r="AFM28" s="29"/>
      <c r="AFN28" s="29"/>
      <c r="AFO28" s="29"/>
      <c r="AFP28" s="29"/>
      <c r="AFQ28" s="29"/>
      <c r="AFR28" s="29"/>
      <c r="AFS28" s="29"/>
      <c r="AFT28" s="29"/>
      <c r="AFU28" s="29"/>
      <c r="AFV28" s="29"/>
      <c r="AFW28" s="29"/>
      <c r="AFX28" s="29"/>
      <c r="AFY28" s="29"/>
      <c r="AFZ28" s="29"/>
      <c r="AGA28" s="29"/>
      <c r="AGB28" s="29"/>
      <c r="AGC28" s="29"/>
      <c r="AGD28" s="29"/>
      <c r="AGE28" s="29"/>
      <c r="AGF28" s="29"/>
      <c r="AGG28" s="29"/>
      <c r="AGH28" s="29"/>
      <c r="AGI28" s="29"/>
      <c r="AGJ28" s="29"/>
      <c r="AGK28" s="29"/>
      <c r="AGL28" s="29"/>
      <c r="AGM28" s="29"/>
      <c r="AGN28" s="29"/>
      <c r="AGO28" s="29"/>
      <c r="AGP28" s="29"/>
      <c r="AGQ28" s="29"/>
      <c r="AGR28" s="29"/>
      <c r="AGS28" s="29"/>
      <c r="AGT28" s="29"/>
      <c r="AGU28" s="29"/>
      <c r="AGV28" s="29"/>
      <c r="AGW28" s="29"/>
      <c r="AGX28" s="29"/>
      <c r="AGY28" s="29"/>
      <c r="AGZ28" s="29"/>
      <c r="AHA28" s="29"/>
      <c r="AHB28" s="29"/>
      <c r="AHC28" s="29"/>
      <c r="AHD28" s="29"/>
      <c r="AHE28" s="29"/>
      <c r="AHF28" s="29"/>
      <c r="AHG28" s="29"/>
      <c r="AHH28" s="29"/>
      <c r="AHI28" s="29"/>
      <c r="AHJ28" s="29"/>
      <c r="AHK28" s="29"/>
      <c r="AHL28" s="29"/>
      <c r="AHM28" s="29"/>
      <c r="AHN28" s="29"/>
      <c r="AHO28" s="29"/>
      <c r="AHP28" s="29"/>
      <c r="AHQ28" s="29"/>
      <c r="AHR28" s="29"/>
      <c r="AHS28" s="29"/>
      <c r="AHT28" s="29"/>
      <c r="AHU28" s="29"/>
      <c r="AHV28" s="29"/>
      <c r="AHW28" s="29"/>
      <c r="AHX28" s="29"/>
      <c r="AHY28" s="29"/>
      <c r="AHZ28" s="29"/>
      <c r="AIA28" s="29"/>
      <c r="AIB28" s="29"/>
      <c r="AIC28" s="29"/>
      <c r="AID28" s="29"/>
      <c r="AIE28" s="29"/>
      <c r="AIF28" s="29"/>
      <c r="AIG28" s="29"/>
      <c r="AIH28" s="29"/>
      <c r="AII28" s="29"/>
      <c r="AIJ28" s="29"/>
      <c r="AIK28" s="29"/>
      <c r="AIL28" s="29"/>
      <c r="AIM28" s="29"/>
      <c r="AIN28" s="29"/>
      <c r="AIO28" s="29"/>
      <c r="AIP28" s="29"/>
      <c r="AIQ28" s="29"/>
      <c r="AIR28" s="29"/>
      <c r="AIS28" s="29"/>
      <c r="AIT28" s="29"/>
      <c r="AIU28" s="29"/>
      <c r="AIV28" s="29"/>
      <c r="AIW28" s="29"/>
      <c r="AIX28" s="29"/>
      <c r="AIY28" s="29"/>
      <c r="AIZ28" s="29"/>
      <c r="AJA28" s="29"/>
      <c r="AJB28" s="29"/>
      <c r="AJC28" s="29"/>
      <c r="AJD28" s="29"/>
      <c r="AJE28" s="29"/>
      <c r="AJF28" s="29"/>
      <c r="AJG28" s="29"/>
      <c r="AJH28" s="29"/>
      <c r="AJI28" s="29"/>
      <c r="AJJ28" s="29"/>
      <c r="AJK28" s="29"/>
      <c r="AJL28" s="29"/>
      <c r="AJM28" s="29"/>
      <c r="AJN28" s="29"/>
      <c r="AJO28" s="29"/>
      <c r="AJP28" s="29"/>
      <c r="AJQ28" s="29"/>
      <c r="AJR28" s="29"/>
      <c r="AJS28" s="29"/>
      <c r="AJT28" s="29"/>
      <c r="AJU28" s="29"/>
      <c r="AJV28" s="29"/>
      <c r="AJW28" s="29"/>
      <c r="AJX28" s="29"/>
      <c r="AJY28" s="29"/>
      <c r="AJZ28" s="29"/>
      <c r="AKA28" s="29"/>
      <c r="AKB28" s="29"/>
      <c r="AKC28" s="29"/>
      <c r="AKD28" s="29"/>
      <c r="AKE28" s="29"/>
      <c r="AKF28" s="29"/>
      <c r="AKG28" s="29"/>
      <c r="AKH28" s="29"/>
      <c r="AKI28" s="29"/>
      <c r="AKJ28" s="29"/>
      <c r="AKK28" s="29"/>
      <c r="AKL28" s="29"/>
      <c r="AKM28" s="29"/>
      <c r="AKN28" s="29"/>
      <c r="AKO28" s="29"/>
      <c r="AKP28" s="29"/>
      <c r="AKQ28" s="29"/>
      <c r="AKR28" s="29"/>
      <c r="AKS28" s="29"/>
      <c r="AKT28" s="29"/>
      <c r="AKU28" s="29"/>
      <c r="AKV28" s="29"/>
      <c r="AKW28" s="29"/>
      <c r="AKX28" s="29"/>
      <c r="AKY28" s="29"/>
      <c r="AKZ28" s="29"/>
      <c r="ALA28" s="29"/>
      <c r="ALB28" s="29"/>
      <c r="ALC28" s="29"/>
      <c r="ALD28" s="29"/>
      <c r="ALE28" s="29"/>
      <c r="ALF28" s="29"/>
      <c r="ALG28" s="29"/>
      <c r="ALH28" s="29"/>
      <c r="ALI28" s="29"/>
      <c r="ALJ28" s="29"/>
      <c r="ALK28" s="29"/>
      <c r="ALL28" s="29"/>
      <c r="ALM28" s="29"/>
      <c r="ALN28" s="29"/>
      <c r="ALO28" s="29"/>
      <c r="ALP28" s="29"/>
      <c r="ALQ28" s="29"/>
      <c r="ALR28" s="29"/>
      <c r="ALS28" s="29"/>
      <c r="ALT28" s="29"/>
      <c r="ALU28" s="29"/>
      <c r="ALV28" s="29"/>
      <c r="ALW28" s="29"/>
      <c r="ALX28" s="29"/>
      <c r="ALY28" s="29"/>
      <c r="ALZ28" s="29"/>
      <c r="AMA28" s="29"/>
      <c r="AMB28" s="29"/>
      <c r="AMC28" s="29"/>
      <c r="AMD28" s="29"/>
      <c r="AME28" s="29"/>
    </row>
    <row r="29" customFormat="false" ht="16.5" hidden="false" customHeight="true" outlineLevel="0" collapsed="false">
      <c r="B29" s="22" t="str">
        <f aca="false">'Base Pato Branco'!B7</f>
        <v>APS CORONEL VIVIDA</v>
      </c>
      <c r="C29" s="24" t="n">
        <f aca="false">'Base Pato Branco'!AO7</f>
        <v>975.142589331542</v>
      </c>
      <c r="D29" s="24" t="n">
        <f aca="false">C29*3</f>
        <v>2925.42776799463</v>
      </c>
      <c r="E29" s="24" t="n">
        <f aca="false">C29+D29</f>
        <v>3900.57035732617</v>
      </c>
      <c r="F29" s="24" t="n">
        <f aca="false">C29*12</f>
        <v>11701.7110719785</v>
      </c>
      <c r="G29" s="24" t="n">
        <f aca="false">F29*3</f>
        <v>35105.1332159355</v>
      </c>
      <c r="H29" s="24" t="n">
        <f aca="false">F29+G29</f>
        <v>46806.844287914</v>
      </c>
      <c r="I29" s="36" t="n">
        <f aca="false">F29/$E$7</f>
        <v>0.0287028182454675</v>
      </c>
    </row>
    <row r="30" customFormat="false" ht="16.5" hidden="false" customHeight="true" outlineLevel="0" collapsed="false">
      <c r="B30" s="22" t="str">
        <f aca="false">'Base Pato Branco'!B8</f>
        <v>APS DOIS VIZINHOS</v>
      </c>
      <c r="C30" s="24" t="n">
        <f aca="false">'Base Pato Branco'!AO8</f>
        <v>1078.40395227264</v>
      </c>
      <c r="D30" s="24" t="n">
        <f aca="false">C30*3</f>
        <v>3235.21185681793</v>
      </c>
      <c r="E30" s="24" t="n">
        <f aca="false">C30+D30</f>
        <v>4313.61580909058</v>
      </c>
      <c r="F30" s="24" t="n">
        <f aca="false">C30*12</f>
        <v>12940.8474272717</v>
      </c>
      <c r="G30" s="24" t="n">
        <f aca="false">F30*3</f>
        <v>38822.5422818152</v>
      </c>
      <c r="H30" s="24" t="n">
        <f aca="false">F30+G30</f>
        <v>51763.3897090869</v>
      </c>
      <c r="I30" s="36" t="n">
        <f aca="false">F30/$E$7</f>
        <v>0.0317422631068692</v>
      </c>
    </row>
    <row r="31" customFormat="false" ht="16.5" hidden="false" customHeight="true" outlineLevel="0" collapsed="false">
      <c r="B31" s="22" t="str">
        <f aca="false">'Base Pato Branco'!B9</f>
        <v>APS FRANCISCO BELTRÃO</v>
      </c>
      <c r="C31" s="24" t="n">
        <f aca="false">'Base Pato Branco'!AO9</f>
        <v>1664.56962019978</v>
      </c>
      <c r="D31" s="24" t="n">
        <f aca="false">C31*3</f>
        <v>4993.70886059935</v>
      </c>
      <c r="E31" s="24" t="n">
        <f aca="false">C31+D31</f>
        <v>6658.27848079913</v>
      </c>
      <c r="F31" s="24" t="n">
        <f aca="false">C31*12</f>
        <v>19974.8354423974</v>
      </c>
      <c r="G31" s="24" t="n">
        <f aca="false">F31*3</f>
        <v>59924.5063271921</v>
      </c>
      <c r="H31" s="24" t="n">
        <f aca="false">F31+G31</f>
        <v>79899.3417695895</v>
      </c>
      <c r="I31" s="36" t="n">
        <f aca="false">F31/$E$7</f>
        <v>0.0489957466612886</v>
      </c>
    </row>
    <row r="32" customFormat="false" ht="16.5" hidden="false" customHeight="true" outlineLevel="0" collapsed="false">
      <c r="B32" s="22" t="str">
        <f aca="false">'Base Pato Branco'!B10</f>
        <v>APS MANGUEIRINHA</v>
      </c>
      <c r="C32" s="24" t="n">
        <f aca="false">'Base Pato Branco'!AO10</f>
        <v>954.286402772645</v>
      </c>
      <c r="D32" s="24" t="n">
        <f aca="false">C32*3</f>
        <v>2862.85920831793</v>
      </c>
      <c r="E32" s="24" t="n">
        <f aca="false">C32+D32</f>
        <v>3817.14561109058</v>
      </c>
      <c r="F32" s="24" t="n">
        <f aca="false">C32*12</f>
        <v>11451.4368332717</v>
      </c>
      <c r="G32" s="24" t="n">
        <f aca="false">F32*3</f>
        <v>34354.3104998152</v>
      </c>
      <c r="H32" s="24" t="n">
        <f aca="false">F32+G32</f>
        <v>45805.747333087</v>
      </c>
      <c r="I32" s="36" t="n">
        <f aca="false">F32/$E$7</f>
        <v>0.0280889271708258</v>
      </c>
    </row>
    <row r="33" customFormat="false" ht="16.5" hidden="false" customHeight="true" outlineLevel="0" collapsed="false">
      <c r="B33" s="22" t="str">
        <f aca="false">'Base Pato Branco'!B11</f>
        <v>APS PALMAS</v>
      </c>
      <c r="C33" s="24" t="n">
        <f aca="false">'Base Pato Branco'!AO11</f>
        <v>1176.51591997264</v>
      </c>
      <c r="D33" s="24" t="n">
        <f aca="false">C33*3</f>
        <v>3529.54775991793</v>
      </c>
      <c r="E33" s="24" t="n">
        <f aca="false">C33+D33</f>
        <v>4706.06367989058</v>
      </c>
      <c r="F33" s="24" t="n">
        <f aca="false">C33*12</f>
        <v>14118.1910396717</v>
      </c>
      <c r="G33" s="24" t="n">
        <f aca="false">F33*3</f>
        <v>42354.5731190152</v>
      </c>
      <c r="H33" s="24" t="n">
        <f aca="false">F33+G33</f>
        <v>56472.7641586869</v>
      </c>
      <c r="I33" s="36" t="n">
        <f aca="false">F33/$E$7</f>
        <v>0.0346301381801225</v>
      </c>
    </row>
    <row r="34" customFormat="false" ht="16.5" hidden="false" customHeight="true" outlineLevel="0" collapsed="false">
      <c r="B34" s="22" t="str">
        <f aca="false">'Base Pato Branco'!B12</f>
        <v>APS PATO BRANCO</v>
      </c>
      <c r="C34" s="24" t="n">
        <f aca="false">'Base Pato Branco'!AO12</f>
        <v>1269.38481045002</v>
      </c>
      <c r="D34" s="24" t="n">
        <f aca="false">C34*3</f>
        <v>3808.15443135007</v>
      </c>
      <c r="E34" s="24" t="n">
        <f aca="false">C34+D34</f>
        <v>5077.53924180009</v>
      </c>
      <c r="F34" s="24" t="n">
        <f aca="false">C34*12</f>
        <v>15232.6177254003</v>
      </c>
      <c r="G34" s="24" t="n">
        <f aca="false">F34*3</f>
        <v>45697.8531762008</v>
      </c>
      <c r="H34" s="24" t="n">
        <f aca="false">F34+G34</f>
        <v>60930.4709016011</v>
      </c>
      <c r="I34" s="36" t="n">
        <f aca="false">F34/$E$7</f>
        <v>0.0373636859845085</v>
      </c>
    </row>
    <row r="35" customFormat="false" ht="16.5" hidden="false" customHeight="true" outlineLevel="0" collapsed="false">
      <c r="B35" s="22" t="str">
        <f aca="false">'Base Pato Branco'!B13</f>
        <v>APS REALEZA</v>
      </c>
      <c r="C35" s="24" t="n">
        <f aca="false">'Base Pato Branco'!AO13</f>
        <v>1078.40395227264</v>
      </c>
      <c r="D35" s="24" t="n">
        <f aca="false">C35*3</f>
        <v>3235.21185681793</v>
      </c>
      <c r="E35" s="24" t="n">
        <f aca="false">C35+D35</f>
        <v>4313.61580909058</v>
      </c>
      <c r="F35" s="24" t="n">
        <f aca="false">C35*12</f>
        <v>12940.8474272717</v>
      </c>
      <c r="G35" s="24" t="n">
        <f aca="false">F35*3</f>
        <v>38822.5422818152</v>
      </c>
      <c r="H35" s="24" t="n">
        <f aca="false">F35+G35</f>
        <v>51763.3897090869</v>
      </c>
      <c r="I35" s="36" t="n">
        <f aca="false">F35/$E$7</f>
        <v>0.0317422631068692</v>
      </c>
    </row>
    <row r="36" customFormat="false" ht="16.5" hidden="false" customHeight="true" outlineLevel="0" collapsed="false">
      <c r="B36" s="22" t="str">
        <f aca="false">'Base Pato Branco'!B14</f>
        <v>APS STO. ANTÔNIO DO SUDOESTE</v>
      </c>
      <c r="C36" s="24" t="n">
        <f aca="false">'Base Pato Branco'!AO14</f>
        <v>1115.04818117265</v>
      </c>
      <c r="D36" s="24" t="n">
        <f aca="false">C36*3</f>
        <v>3345.14454351794</v>
      </c>
      <c r="E36" s="24" t="n">
        <f aca="false">C36+D36</f>
        <v>4460.19272469058</v>
      </c>
      <c r="F36" s="24" t="n">
        <f aca="false">C36*12</f>
        <v>13380.5781740717</v>
      </c>
      <c r="G36" s="24" t="n">
        <f aca="false">F36*3</f>
        <v>40141.7345222152</v>
      </c>
      <c r="H36" s="24" t="n">
        <f aca="false">F36+G36</f>
        <v>53522.312696287</v>
      </c>
      <c r="I36" s="36" t="n">
        <f aca="false">F36/$E$7</f>
        <v>0.0328208670498916</v>
      </c>
    </row>
    <row r="37" customFormat="false" ht="16.5" hidden="false" customHeight="true" outlineLevel="0" collapsed="false">
      <c r="B37" s="22" t="str">
        <f aca="false">'Base Pato Branco'!B15</f>
        <v>APS DIONÍSIO CERQUEIRA</v>
      </c>
      <c r="C37" s="24" t="n">
        <f aca="false">'Base Pato Branco'!AO15</f>
        <v>1115.04818117265</v>
      </c>
      <c r="D37" s="24" t="n">
        <f aca="false">C37*3</f>
        <v>3345.14454351794</v>
      </c>
      <c r="E37" s="24" t="n">
        <f aca="false">C37+D37</f>
        <v>4460.19272469058</v>
      </c>
      <c r="F37" s="24" t="n">
        <f aca="false">C37*12</f>
        <v>13380.5781740717</v>
      </c>
      <c r="G37" s="24" t="n">
        <f aca="false">F37*3</f>
        <v>40141.7345222152</v>
      </c>
      <c r="H37" s="24" t="n">
        <f aca="false">F37+G37</f>
        <v>53522.312696287</v>
      </c>
      <c r="I37" s="36" t="n">
        <f aca="false">F37/$E$7</f>
        <v>0.0328208670498916</v>
      </c>
    </row>
    <row r="38" customFormat="false" ht="16.5" hidden="false" customHeight="true" outlineLevel="0" collapsed="false">
      <c r="B38" s="22" t="str">
        <f aca="false">'Base Pato Branco'!B16</f>
        <v>APS SÃO L. DO OESTE</v>
      </c>
      <c r="C38" s="24" t="n">
        <f aca="false">'Base Pato Branco'!AO16</f>
        <v>1145.2758540899</v>
      </c>
      <c r="D38" s="24" t="n">
        <f aca="false">C38*3</f>
        <v>3435.8275622697</v>
      </c>
      <c r="E38" s="24" t="n">
        <f aca="false">C38+D38</f>
        <v>4581.10341635961</v>
      </c>
      <c r="F38" s="24" t="n">
        <f aca="false">C38*12</f>
        <v>13743.3102490788</v>
      </c>
      <c r="G38" s="24" t="n">
        <f aca="false">F38*3</f>
        <v>41229.9307472364</v>
      </c>
      <c r="H38" s="24" t="n">
        <f aca="false">F38+G38</f>
        <v>54973.2409963153</v>
      </c>
      <c r="I38" s="36" t="n">
        <f aca="false">F38/$E$7</f>
        <v>0.0337106029830972</v>
      </c>
    </row>
    <row r="39" customFormat="false" ht="22.5" hidden="false" customHeight="true" outlineLevel="0" collapsed="false">
      <c r="B39" s="41" t="str">
        <f aca="false">"Total Base "&amp;B6</f>
        <v>Total Base PATO BRANCO</v>
      </c>
      <c r="C39" s="41" t="n">
        <f aca="false">SUM(C29:C38)</f>
        <v>11572.0794637071</v>
      </c>
      <c r="D39" s="41" t="n">
        <f aca="false">SUM(D29:D38)</f>
        <v>34716.2383911214</v>
      </c>
      <c r="E39" s="41" t="n">
        <f aca="false">SUM(E29:E38)</f>
        <v>46288.3178548285</v>
      </c>
      <c r="F39" s="41" t="n">
        <f aca="false">SUM(F29:F38)</f>
        <v>138864.953564485</v>
      </c>
      <c r="G39" s="41" t="n">
        <f aca="false">SUM(G29:G38)</f>
        <v>416594.860693456</v>
      </c>
      <c r="H39" s="41" t="n">
        <f aca="false">SUM(H29:H38)</f>
        <v>555459.814257942</v>
      </c>
      <c r="I39" s="42" t="n">
        <f aca="false">SUM(I29:I38)</f>
        <v>0.340618179538832</v>
      </c>
    </row>
    <row r="40" customFormat="false" ht="22.5" hidden="false" customHeight="true" outlineLevel="0" collapsed="false">
      <c r="B40" s="43"/>
      <c r="C40" s="39"/>
      <c r="D40" s="39"/>
      <c r="E40" s="39"/>
      <c r="F40" s="39"/>
      <c r="G40" s="39"/>
      <c r="H40" s="39"/>
      <c r="I40" s="40"/>
    </row>
  </sheetData>
  <mergeCells count="7">
    <mergeCell ref="B2:I2"/>
    <mergeCell ref="B9:B10"/>
    <mergeCell ref="C9:E9"/>
    <mergeCell ref="F9:H9"/>
    <mergeCell ref="B27:B28"/>
    <mergeCell ref="C27:E27"/>
    <mergeCell ref="F27:H27"/>
  </mergeCells>
  <printOptions headings="false" gridLines="false" gridLinesSet="true" horizontalCentered="true" verticalCentered="false"/>
  <pageMargins left="0.150694444444444" right="0.0729166666666667" top="0.1375" bottom="0.0826388888888889" header="0.511811023622047" footer="0.511811023622047"/>
  <pageSetup paperSize="9" scale="100" fitToWidth="1" fitToHeight="1" pageOrder="overThenDown" orientation="portrait" blackAndWhite="false" draft="false" cellComments="none" firstPageNumber="1" useFirstPageNumber="tru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FFFFFF"/>
    <pageSetUpPr fitToPage="false"/>
  </sheetPr>
  <dimension ref="B1:E65527"/>
  <sheetViews>
    <sheetView showFormulas="false" showGridLines="false" showRowColHeaders="true" showZeros="true" rightToLeft="false" tabSelected="false" showOutlineSymbols="true" defaultGridColor="true" view="normal" topLeftCell="A1" colorId="64" zoomScale="90" zoomScaleNormal="90" zoomScalePageLayoutView="100" workbookViewId="0">
      <selection pane="topLeft" activeCell="E7" activeCellId="0" sqref="E7"/>
    </sheetView>
  </sheetViews>
  <sheetFormatPr defaultColWidth="8.41015625" defaultRowHeight="14.25" zeroHeight="false" outlineLevelRow="0" outlineLevelCol="0"/>
  <cols>
    <col collapsed="false" customWidth="true" hidden="false" outlineLevel="0" max="1" min="1" style="1" width="5.62"/>
    <col collapsed="false" customWidth="true" hidden="false" outlineLevel="0" max="2" min="2" style="1" width="21.62"/>
    <col collapsed="false" customWidth="true" hidden="false" outlineLevel="0" max="5" min="3" style="2" width="14.62"/>
    <col collapsed="false" customWidth="true" hidden="false" outlineLevel="0" max="6" min="6" style="2" width="13.5"/>
    <col collapsed="false" customWidth="true" hidden="false" outlineLevel="0" max="7" min="7" style="2" width="12.5"/>
    <col collapsed="false" customWidth="true" hidden="false" outlineLevel="0" max="257" min="8" style="2" width="10.62"/>
    <col collapsed="false" customWidth="true" hidden="false" outlineLevel="0" max="1025" min="258" style="1" width="10.5"/>
  </cols>
  <sheetData>
    <row r="1" customFormat="false" ht="15" hidden="false" customHeight="true" outlineLevel="0" collapsed="false"/>
    <row r="2" customFormat="false" ht="24.75" hidden="false" customHeight="true" outlineLevel="0" collapsed="false">
      <c r="B2" s="44" t="str">
        <f aca="false">"CÁLCULO DO CUSTO DA EQUIPE TÉCNICA PARA O "&amp;'Valor da Contratação'!B7&amp;""</f>
        <v>CÁLCULO DO CUSTO DA EQUIPE TÉCNICA PARA O POLO VI</v>
      </c>
      <c r="C2" s="44"/>
      <c r="D2" s="44"/>
      <c r="E2" s="44"/>
    </row>
    <row r="3" customFormat="false" ht="15" hidden="false" customHeight="true" outlineLevel="0" collapsed="false">
      <c r="B3" s="45"/>
      <c r="C3" s="45"/>
      <c r="D3" s="45"/>
      <c r="E3" s="45"/>
    </row>
    <row r="4" customFormat="false" ht="45.75" hidden="false" customHeight="true" outlineLevel="0" collapsed="false">
      <c r="B4" s="46" t="s">
        <v>30</v>
      </c>
      <c r="C4" s="47" t="s">
        <v>31</v>
      </c>
      <c r="D4" s="47" t="s">
        <v>32</v>
      </c>
      <c r="E4" s="47" t="s">
        <v>33</v>
      </c>
    </row>
    <row r="5" customFormat="false" ht="19.5" hidden="false" customHeight="true" outlineLevel="0" collapsed="false">
      <c r="B5" s="46"/>
      <c r="C5" s="48" t="n">
        <v>127.85</v>
      </c>
      <c r="D5" s="48" t="n">
        <f aca="false">'Comp. Eng. Eletricista'!D11</f>
        <v>126.971875</v>
      </c>
      <c r="E5" s="48" t="n">
        <v>31.07</v>
      </c>
    </row>
    <row r="6" customFormat="false" ht="19.5" hidden="false" customHeight="true" outlineLevel="0" collapsed="false">
      <c r="B6" s="49" t="s">
        <v>34</v>
      </c>
      <c r="C6" s="50" t="n">
        <v>80</v>
      </c>
      <c r="D6" s="50" t="n">
        <v>16</v>
      </c>
      <c r="E6" s="50" t="n">
        <v>80</v>
      </c>
    </row>
    <row r="7" customFormat="false" ht="19.5" hidden="false" customHeight="true" outlineLevel="0" collapsed="false">
      <c r="B7" s="49" t="s">
        <v>35</v>
      </c>
      <c r="C7" s="48" t="n">
        <f aca="false">C5*C6</f>
        <v>10228</v>
      </c>
      <c r="D7" s="48" t="n">
        <f aca="false">D5*D6</f>
        <v>2031.55</v>
      </c>
      <c r="E7" s="48" t="n">
        <f aca="false">E5*E6</f>
        <v>2485.6</v>
      </c>
    </row>
    <row r="8" customFormat="false" ht="19.5" hidden="false" customHeight="true" outlineLevel="0" collapsed="false">
      <c r="B8" s="49" t="s">
        <v>36</v>
      </c>
      <c r="C8" s="48" t="n">
        <f aca="false">C5*C6*12</f>
        <v>122736</v>
      </c>
      <c r="D8" s="48" t="n">
        <f aca="false">D5*D6*12</f>
        <v>24378.6</v>
      </c>
      <c r="E8" s="48" t="n">
        <f aca="false">E5*E6*12</f>
        <v>29827.2</v>
      </c>
    </row>
    <row r="9" customFormat="false" ht="19.5" hidden="false" customHeight="true" outlineLevel="0" collapsed="false">
      <c r="B9" s="51" t="s">
        <v>37</v>
      </c>
      <c r="C9" s="52"/>
      <c r="D9" s="52"/>
      <c r="E9" s="52"/>
    </row>
    <row r="10" customFormat="false" ht="19.5" hidden="false" customHeight="true" outlineLevel="0" collapsed="false">
      <c r="C10" s="52"/>
      <c r="D10" s="52"/>
      <c r="E10" s="52"/>
    </row>
    <row r="11" customFormat="false" ht="19.5" hidden="false" customHeight="true" outlineLevel="0" collapsed="false">
      <c r="B11" s="46" t="s">
        <v>38</v>
      </c>
      <c r="C11" s="46"/>
      <c r="E11" s="52"/>
    </row>
    <row r="12" customFormat="false" ht="19.5" hidden="false" customHeight="true" outlineLevel="0" collapsed="false">
      <c r="B12" s="49" t="s">
        <v>39</v>
      </c>
      <c r="C12" s="48" t="n">
        <f aca="false">SUM(C7:E7)</f>
        <v>14745.15</v>
      </c>
      <c r="E12" s="52"/>
    </row>
    <row r="13" customFormat="false" ht="19.5" hidden="false" customHeight="true" outlineLevel="0" collapsed="false">
      <c r="B13" s="49" t="s">
        <v>40</v>
      </c>
      <c r="C13" s="48" t="n">
        <f aca="false">SUM(C8:E8)</f>
        <v>176941.8</v>
      </c>
    </row>
    <row r="65527" customFormat="false" ht="12.75" hidden="false" customHeight="true" outlineLevel="0" collapsed="false"/>
  </sheetData>
  <mergeCells count="3">
    <mergeCell ref="B2:E2"/>
    <mergeCell ref="B4:B5"/>
    <mergeCell ref="B11:C11"/>
  </mergeCells>
  <printOptions headings="false" gridLines="false" gridLinesSet="true" horizontalCentered="true" verticalCentered="false"/>
  <pageMargins left="0.7875" right="0.7875" top="0.477777777777778" bottom="0.196527777777778" header="0.511811023622047" footer="0.511811023622047"/>
  <pageSetup paperSize="9" scale="100" fitToWidth="1" fitToHeight="1" pageOrder="overThenDown" orientation="portrait" blackAndWhite="false" draft="false" cellComments="none" firstPageNumber="1" useFirstPageNumber="true" horizontalDpi="300" verticalDpi="300" copies="1"/>
  <headerFooter differentFirst="false" differentOddEven="false">
    <oddHeader/>
    <odd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99FF66"/>
    <pageSetUpPr fitToPage="false"/>
  </sheetPr>
  <dimension ref="A1:ALX26"/>
  <sheetViews>
    <sheetView showFormulas="false" showGridLines="false" showRowColHeaders="true" showZeros="true" rightToLeft="false" tabSelected="false" showOutlineSymbols="true" defaultGridColor="true" view="normal" topLeftCell="D1" colorId="64" zoomScale="90" zoomScaleNormal="90" zoomScalePageLayoutView="100" workbookViewId="0">
      <selection pane="topLeft" activeCell="W7" activeCellId="0" sqref="W7"/>
    </sheetView>
  </sheetViews>
  <sheetFormatPr defaultColWidth="8.41015625" defaultRowHeight="14.25" zeroHeight="false" outlineLevelRow="0" outlineLevelCol="0"/>
  <cols>
    <col collapsed="false" customWidth="true" hidden="false" outlineLevel="0" max="1" min="1" style="1" width="5.62"/>
    <col collapsed="false" customWidth="true" hidden="false" outlineLevel="0" max="2" min="2" style="16" width="33.62"/>
    <col collapsed="false" customWidth="true" hidden="false" outlineLevel="0" max="15" min="3" style="16" width="12.62"/>
    <col collapsed="false" customWidth="false" hidden="false" outlineLevel="0" max="16" min="16" style="16" width="8.38"/>
    <col collapsed="false" customWidth="true" hidden="false" outlineLevel="0" max="17" min="17" style="16" width="33"/>
    <col collapsed="false" customWidth="true" hidden="false" outlineLevel="0" max="33" min="18" style="16" width="11.5"/>
    <col collapsed="false" customWidth="true" hidden="false" outlineLevel="0" max="34" min="34" style="16" width="11"/>
    <col collapsed="false" customWidth="true" hidden="false" outlineLevel="0" max="35" min="35" style="16" width="33"/>
    <col collapsed="false" customWidth="true" hidden="false" outlineLevel="0" max="36" min="36" style="16" width="10.62"/>
    <col collapsed="false" customWidth="true" hidden="false" outlineLevel="0" max="40" min="37" style="16" width="11.75"/>
    <col collapsed="false" customWidth="true" hidden="false" outlineLevel="0" max="42" min="41" style="16" width="11.38"/>
    <col collapsed="false" customWidth="true" hidden="false" outlineLevel="0" max="43" min="43" style="16" width="12.88"/>
    <col collapsed="false" customWidth="true" hidden="false" outlineLevel="0" max="44" min="44" style="16" width="3.38"/>
    <col collapsed="false" customWidth="true" hidden="false" outlineLevel="0" max="45" min="45" style="16" width="28.12"/>
    <col collapsed="false" customWidth="true" hidden="false" outlineLevel="0" max="46" min="46" style="16" width="12.76"/>
    <col collapsed="false" customWidth="true" hidden="false" outlineLevel="0" max="49" min="47" style="16" width="11.75"/>
    <col collapsed="false" customWidth="true" hidden="false" outlineLevel="0" max="256" min="50" style="16" width="10.62"/>
    <col collapsed="false" customWidth="true" hidden="false" outlineLevel="0" max="1012" min="257" style="1" width="10.5"/>
  </cols>
  <sheetData>
    <row r="1" customFormat="false" ht="15" hidden="false" customHeight="true" outlineLevel="0" collapsed="false"/>
    <row r="2" s="53" customFormat="true" ht="24.75" hidden="false" customHeight="true" outlineLevel="0" collapsed="false">
      <c r="B2" s="54" t="str">
        <f aca="false">"BASE "&amp;Resumo!B5&amp;" - PLANILHA DE FORMAÇÃO DE PREÇOS"</f>
        <v>BASE CHAPECÓ - PLANILHA DE FORMAÇÃO DE PREÇOS</v>
      </c>
      <c r="C2" s="54"/>
      <c r="D2" s="54"/>
      <c r="E2" s="54"/>
      <c r="F2" s="54"/>
      <c r="G2" s="54"/>
      <c r="H2" s="54"/>
      <c r="I2" s="54"/>
      <c r="J2" s="54"/>
      <c r="K2" s="54"/>
      <c r="L2" s="54"/>
      <c r="M2" s="54"/>
      <c r="N2" s="54"/>
      <c r="O2" s="54"/>
      <c r="P2" s="55"/>
      <c r="Q2" s="44" t="str">
        <f aca="false">"BASE "&amp;Resumo!B5&amp;" – PLANILHA DE DISTRIBUIÇÃO DE CUSTOS POR UNIDADE"</f>
        <v>BASE CHAPECÓ – PLANILHA DE DISTRIBUIÇÃO DE CUSTOS POR UNIDADE</v>
      </c>
      <c r="R2" s="44"/>
      <c r="S2" s="44"/>
      <c r="T2" s="44"/>
      <c r="U2" s="44"/>
      <c r="V2" s="44"/>
      <c r="W2" s="44"/>
      <c r="X2" s="44"/>
      <c r="Y2" s="44"/>
      <c r="Z2" s="44"/>
      <c r="AA2" s="44"/>
      <c r="AB2" s="44"/>
      <c r="AC2" s="44"/>
      <c r="AD2" s="44"/>
      <c r="AE2" s="44"/>
      <c r="AF2" s="44"/>
      <c r="AG2" s="44"/>
      <c r="AH2" s="56"/>
      <c r="AI2" s="57" t="str">
        <f aca="false">"BASE "&amp;Resumo!B5&amp;" – PLANILHA RESUMO DE CUSTOS DA BASE"</f>
        <v>BASE CHAPECÓ – PLANILHA RESUMO DE CUSTOS DA BASE</v>
      </c>
      <c r="AJ2" s="57"/>
      <c r="AK2" s="57"/>
      <c r="AL2" s="57"/>
      <c r="AM2" s="57"/>
      <c r="AN2" s="57"/>
      <c r="AO2" s="57"/>
      <c r="AP2" s="57"/>
      <c r="AQ2" s="57"/>
      <c r="AR2" s="57"/>
      <c r="AS2" s="57"/>
      <c r="AT2" s="57"/>
      <c r="AU2" s="57"/>
      <c r="AV2" s="57"/>
      <c r="AW2" s="57"/>
    </row>
    <row r="3" customFormat="false" ht="15" hidden="false" customHeight="true" outlineLevel="0" collapsed="false">
      <c r="B3" s="53"/>
      <c r="C3" s="55"/>
      <c r="D3" s="55"/>
      <c r="E3" s="55"/>
      <c r="F3" s="55"/>
      <c r="G3" s="55"/>
      <c r="H3" s="55"/>
      <c r="I3" s="55"/>
      <c r="J3" s="55"/>
      <c r="K3" s="55"/>
      <c r="L3" s="55"/>
      <c r="M3" s="55"/>
      <c r="N3" s="55"/>
      <c r="O3" s="55"/>
      <c r="P3" s="55"/>
      <c r="Q3" s="55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</row>
    <row r="4" s="33" customFormat="true" ht="19.5" hidden="false" customHeight="true" outlineLevel="0" collapsed="false">
      <c r="B4" s="47" t="s">
        <v>41</v>
      </c>
      <c r="C4" s="47" t="s">
        <v>42</v>
      </c>
      <c r="D4" s="47"/>
      <c r="E4" s="47"/>
      <c r="F4" s="47"/>
      <c r="G4" s="47"/>
      <c r="H4" s="47" t="s">
        <v>43</v>
      </c>
      <c r="I4" s="47"/>
      <c r="J4" s="47"/>
      <c r="K4" s="47"/>
      <c r="L4" s="47"/>
      <c r="M4" s="47"/>
      <c r="N4" s="47"/>
      <c r="O4" s="47" t="s">
        <v>28</v>
      </c>
      <c r="P4" s="55"/>
      <c r="Q4" s="47" t="s">
        <v>44</v>
      </c>
      <c r="R4" s="58" t="s">
        <v>45</v>
      </c>
      <c r="S4" s="58"/>
      <c r="T4" s="58"/>
      <c r="U4" s="58"/>
      <c r="V4" s="58" t="s">
        <v>46</v>
      </c>
      <c r="W4" s="58"/>
      <c r="X4" s="58"/>
      <c r="Y4" s="58"/>
      <c r="Z4" s="58" t="s">
        <v>47</v>
      </c>
      <c r="AA4" s="58"/>
      <c r="AB4" s="58"/>
      <c r="AC4" s="58"/>
      <c r="AD4" s="58" t="s">
        <v>48</v>
      </c>
      <c r="AE4" s="58"/>
      <c r="AF4" s="58"/>
      <c r="AG4" s="58"/>
      <c r="AI4" s="47" t="s">
        <v>44</v>
      </c>
      <c r="AJ4" s="59" t="s">
        <v>49</v>
      </c>
      <c r="AK4" s="59"/>
      <c r="AL4" s="59"/>
      <c r="AM4" s="59"/>
      <c r="AN4" s="59"/>
      <c r="AO4" s="59" t="s">
        <v>50</v>
      </c>
      <c r="AP4" s="59"/>
      <c r="AQ4" s="59"/>
      <c r="AR4" s="60"/>
      <c r="AS4" s="59" t="str">
        <f aca="false">"Resumo de Custos da Base "&amp;Resumo!B5</f>
        <v>Resumo de Custos da Base CHAPECÓ</v>
      </c>
      <c r="AT4" s="59"/>
      <c r="AU4" s="59"/>
      <c r="AV4" s="59"/>
      <c r="AW4" s="59"/>
    </row>
    <row r="5" customFormat="false" ht="39.75" hidden="false" customHeight="true" outlineLevel="0" collapsed="false">
      <c r="B5" s="47"/>
      <c r="C5" s="47" t="s">
        <v>28</v>
      </c>
      <c r="D5" s="47" t="s">
        <v>51</v>
      </c>
      <c r="E5" s="47" t="s">
        <v>52</v>
      </c>
      <c r="F5" s="47" t="s">
        <v>53</v>
      </c>
      <c r="G5" s="47" t="s">
        <v>54</v>
      </c>
      <c r="H5" s="47" t="s">
        <v>55</v>
      </c>
      <c r="I5" s="47" t="s">
        <v>56</v>
      </c>
      <c r="J5" s="47" t="s">
        <v>57</v>
      </c>
      <c r="K5" s="47" t="s">
        <v>58</v>
      </c>
      <c r="L5" s="47" t="s">
        <v>59</v>
      </c>
      <c r="M5" s="47" t="s">
        <v>60</v>
      </c>
      <c r="N5" s="47" t="s">
        <v>61</v>
      </c>
      <c r="O5" s="47"/>
      <c r="P5" s="55"/>
      <c r="Q5" s="47"/>
      <c r="R5" s="47" t="s">
        <v>62</v>
      </c>
      <c r="S5" s="47" t="s">
        <v>63</v>
      </c>
      <c r="T5" s="47" t="s">
        <v>64</v>
      </c>
      <c r="U5" s="47" t="s">
        <v>65</v>
      </c>
      <c r="V5" s="47" t="s">
        <v>66</v>
      </c>
      <c r="W5" s="47" t="s">
        <v>67</v>
      </c>
      <c r="X5" s="47" t="s">
        <v>68</v>
      </c>
      <c r="Y5" s="47" t="s">
        <v>69</v>
      </c>
      <c r="Z5" s="47" t="s">
        <v>70</v>
      </c>
      <c r="AA5" s="47"/>
      <c r="AB5" s="47"/>
      <c r="AC5" s="47" t="n">
        <f aca="false">N21+'Base Pato Branco'!N17</f>
        <v>960.15</v>
      </c>
      <c r="AD5" s="58" t="s">
        <v>62</v>
      </c>
      <c r="AE5" s="58" t="s">
        <v>63</v>
      </c>
      <c r="AF5" s="58" t="s">
        <v>64</v>
      </c>
      <c r="AG5" s="58" t="s">
        <v>65</v>
      </c>
      <c r="AI5" s="47"/>
      <c r="AJ5" s="58" t="s">
        <v>71</v>
      </c>
      <c r="AK5" s="58" t="s">
        <v>62</v>
      </c>
      <c r="AL5" s="58" t="s">
        <v>63</v>
      </c>
      <c r="AM5" s="58" t="s">
        <v>64</v>
      </c>
      <c r="AN5" s="58" t="s">
        <v>65</v>
      </c>
      <c r="AO5" s="58" t="s">
        <v>72</v>
      </c>
      <c r="AP5" s="58" t="s">
        <v>73</v>
      </c>
      <c r="AQ5" s="58" t="s">
        <v>74</v>
      </c>
      <c r="AR5" s="56"/>
      <c r="AS5" s="58" t="s">
        <v>75</v>
      </c>
      <c r="AT5" s="58" t="s">
        <v>62</v>
      </c>
      <c r="AU5" s="58" t="s">
        <v>63</v>
      </c>
      <c r="AV5" s="58" t="s">
        <v>64</v>
      </c>
      <c r="AW5" s="58" t="s">
        <v>65</v>
      </c>
    </row>
    <row r="6" customFormat="false" ht="19.5" hidden="false" customHeight="true" outlineLevel="0" collapsed="false">
      <c r="B6" s="47"/>
      <c r="C6" s="61" t="s">
        <v>76</v>
      </c>
      <c r="D6" s="61" t="n">
        <v>1</v>
      </c>
      <c r="E6" s="61" t="n">
        <v>0.35</v>
      </c>
      <c r="F6" s="61" t="n">
        <v>0.1</v>
      </c>
      <c r="G6" s="47"/>
      <c r="H6" s="61" t="n">
        <v>1</v>
      </c>
      <c r="I6" s="61" t="n">
        <v>1.2</v>
      </c>
      <c r="J6" s="61" t="n">
        <v>2</v>
      </c>
      <c r="K6" s="61" t="n">
        <v>4</v>
      </c>
      <c r="L6" s="61" t="n">
        <v>1.1</v>
      </c>
      <c r="M6" s="61" t="n">
        <v>1.1</v>
      </c>
      <c r="N6" s="47"/>
      <c r="O6" s="47"/>
      <c r="P6" s="62"/>
      <c r="Q6" s="47"/>
      <c r="R6" s="61" t="s">
        <v>77</v>
      </c>
      <c r="S6" s="61" t="s">
        <v>78</v>
      </c>
      <c r="T6" s="61" t="s">
        <v>79</v>
      </c>
      <c r="U6" s="61" t="s">
        <v>80</v>
      </c>
      <c r="V6" s="47"/>
      <c r="W6" s="47"/>
      <c r="X6" s="47"/>
      <c r="Y6" s="47"/>
      <c r="Z6" s="35" t="s">
        <v>62</v>
      </c>
      <c r="AA6" s="35" t="s">
        <v>63</v>
      </c>
      <c r="AB6" s="35" t="s">
        <v>64</v>
      </c>
      <c r="AC6" s="35" t="s">
        <v>65</v>
      </c>
      <c r="AD6" s="58"/>
      <c r="AE6" s="58"/>
      <c r="AF6" s="58"/>
      <c r="AG6" s="58"/>
      <c r="AI6" s="47"/>
      <c r="AJ6" s="58"/>
      <c r="AK6" s="58"/>
      <c r="AL6" s="58"/>
      <c r="AM6" s="58"/>
      <c r="AN6" s="58"/>
      <c r="AO6" s="58"/>
      <c r="AP6" s="58"/>
      <c r="AQ6" s="58"/>
      <c r="AR6" s="63"/>
      <c r="AS6" s="58"/>
      <c r="AT6" s="35" t="s">
        <v>77</v>
      </c>
      <c r="AU6" s="35" t="s">
        <v>78</v>
      </c>
      <c r="AV6" s="35" t="s">
        <v>79</v>
      </c>
      <c r="AW6" s="35" t="s">
        <v>80</v>
      </c>
    </row>
    <row r="7" s="2" customFormat="true" ht="15" hidden="false" customHeight="true" outlineLevel="0" collapsed="false">
      <c r="B7" s="22" t="s">
        <v>81</v>
      </c>
      <c r="C7" s="64" t="n">
        <f aca="false">VLOOKUP($B7,Unidades!$D$5:$N$28,6,FALSE())</f>
        <v>1776</v>
      </c>
      <c r="D7" s="64" t="n">
        <f aca="false">VLOOKUP($B7,Unidades!$D$5:$N$28,7,FALSE())</f>
        <v>657</v>
      </c>
      <c r="E7" s="64" t="n">
        <f aca="false">VLOOKUP($B7,Unidades!$D$5:$N$28,8,FALSE())</f>
        <v>577</v>
      </c>
      <c r="F7" s="64" t="n">
        <f aca="false">VLOOKUP($B7,Unidades!$D$5:$N$28,9,FALSE())</f>
        <v>542</v>
      </c>
      <c r="G7" s="64" t="n">
        <f aca="false">D7+E7*$E$6+F7*$F$6</f>
        <v>913.15</v>
      </c>
      <c r="H7" s="65" t="n">
        <f aca="false">IF(G7&lt;750,1.5,IF(G7&lt;2000,2,3))</f>
        <v>2</v>
      </c>
      <c r="I7" s="65" t="n">
        <f aca="false">$I$6*H7</f>
        <v>2.4</v>
      </c>
      <c r="J7" s="65" t="str">
        <f aca="false">VLOOKUP($B7,Unidades!$D$5:$N$28,10,FALSE())</f>
        <v>NÃO</v>
      </c>
      <c r="K7" s="65" t="str">
        <f aca="false">VLOOKUP($B7,Unidades!$D$5:$N$28,11,FALSE())</f>
        <v>SIM</v>
      </c>
      <c r="L7" s="65" t="n">
        <f aca="false">$L$6*H7+(IF(J7="SIM",$J$6,0))</f>
        <v>2.2</v>
      </c>
      <c r="M7" s="65" t="n">
        <f aca="false">$M$6*H7+(IF(J7="SIM",$J$6,0))+(IF(K7="SIM",$K$6,0))</f>
        <v>6.2</v>
      </c>
      <c r="N7" s="65" t="n">
        <f aca="false">H7*12+I7*4+L7*2+M7</f>
        <v>44.2</v>
      </c>
      <c r="O7" s="66" t="n">
        <f aca="false">IF(K7="não", N7*(C$24+D$24),N7*(C$24+D$24)+(M7*+E$24))</f>
        <v>2752.058</v>
      </c>
      <c r="P7" s="67"/>
      <c r="Q7" s="22" t="str">
        <f aca="false">B7</f>
        <v>APS CAÇADOR</v>
      </c>
      <c r="R7" s="24" t="n">
        <f aca="false">H7*($C$24+$D$24)</f>
        <v>113</v>
      </c>
      <c r="S7" s="24" t="n">
        <f aca="false">I7*($C$24+$D$24)</f>
        <v>135.6</v>
      </c>
      <c r="T7" s="24" t="n">
        <f aca="false">L7*($C$24+$D$24)</f>
        <v>124.3</v>
      </c>
      <c r="U7" s="24" t="n">
        <f aca="false">IF(K7="não",M7*($C$24+$D$24),M7*(C$24+D$24+E$24))</f>
        <v>605.058</v>
      </c>
      <c r="V7" s="24" t="n">
        <f aca="false">VLOOKUP(Q7,'Desl. Base Chapecó'!$C$5:$S$18,13,FALSE())*($C$24+$D$24+$E$24*(VLOOKUP(Q7,'Desl. Base Chapecó'!$C$5:$S$18,17,FALSE())/12))</f>
        <v>405.486861111111</v>
      </c>
      <c r="W7" s="24" t="n">
        <f aca="false">VLOOKUP(Q7,'Desl. Base Chapecó'!$C$5:$S$19,15,FALSE())*(2+(VLOOKUP(Q7,'Desl. Base Chapecó'!$C$5:$S$19,17,FALSE())/12))</f>
        <v>276.541666666667</v>
      </c>
      <c r="X7" s="24" t="n">
        <f aca="false">VLOOKUP(Q7,'Desl. Base Chapecó'!$C$5:$Q$18,14,FALSE())</f>
        <v>0</v>
      </c>
      <c r="Y7" s="24" t="n">
        <f aca="false">VLOOKUP(Q7,'Desl. Base Chapecó'!$C$5:$Q$18,13,FALSE())*'Desl. Base Chapecó'!$E$23+'Desl. Base Chapecó'!$E$24*N7/12</f>
        <v>377.601166666667</v>
      </c>
      <c r="Z7" s="24" t="n">
        <f aca="false">(H7/$AC$5)*'Equipe Técnica'!$C$13</f>
        <v>368.571160756132</v>
      </c>
      <c r="AA7" s="24" t="n">
        <f aca="false">(I7/$AC$5)*'Equipe Técnica'!$C$13</f>
        <v>442.285392907358</v>
      </c>
      <c r="AB7" s="24" t="n">
        <f aca="false">(L7/$AC$5)*'Equipe Técnica'!$C$13</f>
        <v>405.428276831745</v>
      </c>
      <c r="AC7" s="24" t="n">
        <f aca="false">(M7/$AC$5)*'Equipe Técnica'!$C$13</f>
        <v>1142.57059834401</v>
      </c>
      <c r="AD7" s="24" t="n">
        <f aca="false">R7+(($V7+$W7+$X7+$Y7)*12/19)+$Z7</f>
        <v>1150.81096777368</v>
      </c>
      <c r="AE7" s="24" t="n">
        <f aca="false">S7+(($V7+$W7+$X7+$Y7)*12/19)+$AA7</f>
        <v>1247.1251999249</v>
      </c>
      <c r="AF7" s="24" t="n">
        <f aca="false">T7+(($V7+$W7+$X7+$Y7)*12/19)+$AB7</f>
        <v>1198.96808384929</v>
      </c>
      <c r="AG7" s="24" t="n">
        <f aca="false">U7+(($V7+$W7+$X7+$Y7)*12/19)+$AC7</f>
        <v>2416.86840536155</v>
      </c>
      <c r="AI7" s="22" t="str">
        <f aca="false">B7</f>
        <v>APS CAÇADOR</v>
      </c>
      <c r="AJ7" s="68" t="n">
        <f aca="false">VLOOKUP(AI7,Unidades!D$5:H$28,5,)</f>
        <v>0.2223</v>
      </c>
      <c r="AK7" s="48" t="n">
        <f aca="false">AD7*(1+$AJ7)</f>
        <v>1406.63624590976</v>
      </c>
      <c r="AL7" s="48" t="n">
        <f aca="false">AE7*(1+$AJ7)</f>
        <v>1524.36113186821</v>
      </c>
      <c r="AM7" s="48" t="n">
        <f aca="false">AF7*(1+$AJ7)</f>
        <v>1465.49868888899</v>
      </c>
      <c r="AN7" s="48" t="n">
        <f aca="false">AG7*(1+$AJ7)</f>
        <v>2954.13825187343</v>
      </c>
      <c r="AO7" s="48" t="n">
        <f aca="false">((AK7*12)+(AL7*4)+(AM7*2)+AN7)/12</f>
        <v>2405.18459233678</v>
      </c>
      <c r="AP7" s="48" t="n">
        <f aca="false">AO7*3</f>
        <v>7215.55377701035</v>
      </c>
      <c r="AQ7" s="48" t="n">
        <f aca="false">AO7+AP7</f>
        <v>9620.73836934714</v>
      </c>
      <c r="AR7" s="69"/>
      <c r="AS7" s="70" t="s">
        <v>82</v>
      </c>
      <c r="AT7" s="48" t="n">
        <f aca="false">AK21</f>
        <v>11900.8723327167</v>
      </c>
      <c r="AU7" s="48" t="n">
        <f aca="false">AL21</f>
        <v>13411.7296139149</v>
      </c>
      <c r="AV7" s="48" t="n">
        <f aca="false">AM21</f>
        <v>17397.2245796117</v>
      </c>
      <c r="AW7" s="48" t="n">
        <f aca="false">AN21</f>
        <v>37568.3019541034</v>
      </c>
    </row>
    <row r="8" s="2" customFormat="true" ht="15" hidden="false" customHeight="true" outlineLevel="0" collapsed="false">
      <c r="B8" s="22" t="s">
        <v>83</v>
      </c>
      <c r="C8" s="64" t="n">
        <f aca="false">VLOOKUP($B8,Unidades!$D$5:$N$28,6,FALSE())</f>
        <v>1387</v>
      </c>
      <c r="D8" s="64" t="n">
        <f aca="false">VLOOKUP($B8,Unidades!$D$5:$N$28,7,FALSE())</f>
        <v>679</v>
      </c>
      <c r="E8" s="64" t="n">
        <f aca="false">VLOOKUP($B8,Unidades!$D$5:$N$28,8,FALSE())</f>
        <v>79</v>
      </c>
      <c r="F8" s="64" t="n">
        <f aca="false">VLOOKUP($B8,Unidades!$D$5:$N$28,9,FALSE())</f>
        <v>629</v>
      </c>
      <c r="G8" s="64" t="n">
        <f aca="false">D8+E8*$E$6+F8*$F$6</f>
        <v>769.55</v>
      </c>
      <c r="H8" s="65" t="n">
        <f aca="false">IF(G8&lt;750,1.5,IF(G8&lt;2000,2,3))</f>
        <v>2</v>
      </c>
      <c r="I8" s="65" t="n">
        <f aca="false">$I$6*H8</f>
        <v>2.4</v>
      </c>
      <c r="J8" s="65" t="str">
        <f aca="false">VLOOKUP($B8,Unidades!$D$5:$N$28,10,FALSE())</f>
        <v>SIM</v>
      </c>
      <c r="K8" s="65" t="str">
        <f aca="false">VLOOKUP($B8,Unidades!$D$5:$N$28,11,FALSE())</f>
        <v>SIM</v>
      </c>
      <c r="L8" s="65" t="n">
        <f aca="false">$L$6*H8+(IF(J8="SIM",$J$6,0))</f>
        <v>4.2</v>
      </c>
      <c r="M8" s="65" t="n">
        <f aca="false">$M$6*H8+(IF(J8="SIM",$J$6,0))+(IF(K8="SIM",$K$6,0))</f>
        <v>8.2</v>
      </c>
      <c r="N8" s="65" t="n">
        <f aca="false">H8*12+I8*4+L8*2+M8</f>
        <v>50.2</v>
      </c>
      <c r="O8" s="66" t="n">
        <f aca="false">IF(K8="não", N8*(C$24+D$24),N8*(C$24+D$24)+(M8*+E$24))</f>
        <v>3173.238</v>
      </c>
      <c r="P8" s="67"/>
      <c r="Q8" s="22" t="str">
        <f aca="false">B8</f>
        <v>APS CAMPOS NOVOS</v>
      </c>
      <c r="R8" s="24" t="n">
        <f aca="false">H8*($C$24+$D$24)</f>
        <v>113</v>
      </c>
      <c r="S8" s="24" t="n">
        <f aca="false">I8*($C$24+$D$24)</f>
        <v>135.6</v>
      </c>
      <c r="T8" s="24" t="n">
        <f aca="false">L8*($C$24+$D$24)</f>
        <v>237.3</v>
      </c>
      <c r="U8" s="24" t="n">
        <f aca="false">IF(K8="não",M8*($C$24+$D$24),M8*(C$24+D$24+E$24))</f>
        <v>800.238</v>
      </c>
      <c r="V8" s="24" t="n">
        <f aca="false">VLOOKUP(Q8,'Desl. Base Chapecó'!$C$5:$S$18,13,FALSE())*($C$24+$D$24+$E$24*(VLOOKUP(Q8,'Desl. Base Chapecó'!$C$5:$S$18,17,FALSE())/12))</f>
        <v>199.247854166667</v>
      </c>
      <c r="W8" s="24" t="n">
        <f aca="false">VLOOKUP(Q8,'Desl. Base Chapecó'!$C$5:$S$19,15,FALSE())*(2+(VLOOKUP(Q8,'Desl. Base Chapecó'!$C$5:$S$19,17,FALSE())/12))</f>
        <v>138.270833333333</v>
      </c>
      <c r="X8" s="24" t="n">
        <f aca="false">VLOOKUP(Q8,'Desl. Base Chapecó'!$C$5:$Q$18,14,FALSE())</f>
        <v>0</v>
      </c>
      <c r="Y8" s="24" t="n">
        <f aca="false">VLOOKUP(Q8,'Desl. Base Chapecó'!$C$5:$Q$18,13,FALSE())*'Desl. Base Chapecó'!$E$23+'Desl. Base Chapecó'!$E$24*N8/12</f>
        <v>202.040666666667</v>
      </c>
      <c r="Z8" s="24" t="n">
        <f aca="false">(H8/$AC$5)*'Equipe Técnica'!$C$13</f>
        <v>368.571160756132</v>
      </c>
      <c r="AA8" s="24" t="n">
        <f aca="false">(I8/$AC$5)*'Equipe Técnica'!$C$13</f>
        <v>442.285392907358</v>
      </c>
      <c r="AB8" s="24" t="n">
        <f aca="false">(L8/$AC$5)*'Equipe Técnica'!$C$13</f>
        <v>773.999437587877</v>
      </c>
      <c r="AC8" s="24" t="n">
        <f aca="false">(M8/$AC$5)*'Equipe Técnica'!$C$13</f>
        <v>1511.14175910014</v>
      </c>
      <c r="AD8" s="24" t="n">
        <f aca="false">R8+(($V8+$W8+$X8+$Y8)*12/19)+$Z8</f>
        <v>822.3454897035</v>
      </c>
      <c r="AE8" s="24" t="n">
        <f aca="false">S8+(($V8+$W8+$X8+$Y8)*12/19)+$AA8</f>
        <v>918.659721854727</v>
      </c>
      <c r="AF8" s="24" t="n">
        <f aca="false">T8+(($V8+$W8+$X8+$Y8)*12/19)+$AB8</f>
        <v>1352.07376653525</v>
      </c>
      <c r="AG8" s="24" t="n">
        <f aca="false">U8+(($V8+$W8+$X8+$Y8)*12/19)+$AC8</f>
        <v>2652.15408804751</v>
      </c>
      <c r="AI8" s="22" t="str">
        <f aca="false">B8</f>
        <v>APS CAMPOS NOVOS</v>
      </c>
      <c r="AJ8" s="68" t="n">
        <f aca="false">VLOOKUP(AI8,Unidades!D$5:H$28,5,)</f>
        <v>0.2624</v>
      </c>
      <c r="AK8" s="48" t="n">
        <f aca="false">AD8*(1+$AJ8)</f>
        <v>1038.1289462017</v>
      </c>
      <c r="AL8" s="48" t="n">
        <f aca="false">AE8*(1+$AJ8)</f>
        <v>1159.71603286941</v>
      </c>
      <c r="AM8" s="48" t="n">
        <f aca="false">AF8*(1+$AJ8)</f>
        <v>1706.85792287409</v>
      </c>
      <c r="AN8" s="48" t="n">
        <f aca="false">AG8*(1+$AJ8)</f>
        <v>3348.07932075117</v>
      </c>
      <c r="AO8" s="48" t="n">
        <f aca="false">((AK8*12)+(AL8*4)+(AM8*2)+AN8)/12</f>
        <v>1988.18388769978</v>
      </c>
      <c r="AP8" s="48" t="n">
        <f aca="false">AO8*3</f>
        <v>5964.55166309934</v>
      </c>
      <c r="AQ8" s="48" t="n">
        <f aca="false">AO8+AP8</f>
        <v>7952.73555079913</v>
      </c>
      <c r="AR8" s="69"/>
      <c r="AS8" s="70" t="s">
        <v>84</v>
      </c>
      <c r="AT8" s="48" t="n">
        <f aca="false">AT7*12</f>
        <v>142810.4679926</v>
      </c>
      <c r="AU8" s="48" t="n">
        <f aca="false">AU7*4</f>
        <v>53646.9184556598</v>
      </c>
      <c r="AV8" s="48" t="n">
        <f aca="false">AV7*2</f>
        <v>34794.4491592234</v>
      </c>
      <c r="AW8" s="48" t="n">
        <f aca="false">AW7</f>
        <v>37568.3019541034</v>
      </c>
    </row>
    <row r="9" s="2" customFormat="true" ht="15" hidden="false" customHeight="true" outlineLevel="0" collapsed="false">
      <c r="B9" s="22" t="s">
        <v>85</v>
      </c>
      <c r="C9" s="64" t="n">
        <f aca="false">VLOOKUP($B9,Unidades!$D$5:$N$28,6,FALSE())</f>
        <v>1189</v>
      </c>
      <c r="D9" s="64" t="n">
        <f aca="false">VLOOKUP($B9,Unidades!$D$5:$N$28,7,FALSE())</f>
        <v>472</v>
      </c>
      <c r="E9" s="64" t="n">
        <f aca="false">VLOOKUP($B9,Unidades!$D$5:$N$28,8,FALSE())</f>
        <v>42</v>
      </c>
      <c r="F9" s="64" t="n">
        <f aca="false">VLOOKUP($B9,Unidades!$D$5:$N$28,9,FALSE())</f>
        <v>675</v>
      </c>
      <c r="G9" s="64" t="n">
        <f aca="false">D9+E9*$E$6+F9*$F$6</f>
        <v>554.2</v>
      </c>
      <c r="H9" s="65" t="n">
        <f aca="false">IF(G9&lt;750,1.5,IF(G9&lt;2000,2,3))</f>
        <v>1.5</v>
      </c>
      <c r="I9" s="65" t="n">
        <f aca="false">$I$6*H9</f>
        <v>1.8</v>
      </c>
      <c r="J9" s="65" t="str">
        <f aca="false">VLOOKUP($B9,Unidades!$D$5:$N$28,10,FALSE())</f>
        <v>SIM</v>
      </c>
      <c r="K9" s="65" t="str">
        <f aca="false">VLOOKUP($B9,Unidades!$D$5:$N$28,11,FALSE())</f>
        <v>SIM</v>
      </c>
      <c r="L9" s="65" t="n">
        <f aca="false">$L$6*H9+(IF(J9="SIM",$J$6,0))</f>
        <v>3.65</v>
      </c>
      <c r="M9" s="65" t="n">
        <f aca="false">$M$6*H9+(IF(J9="SIM",$J$6,0))+(IF(K9="SIM",$K$6,0))</f>
        <v>7.65</v>
      </c>
      <c r="N9" s="65" t="n">
        <f aca="false">H9*12+I9*4+L9*2+M9</f>
        <v>40.15</v>
      </c>
      <c r="O9" s="66" t="n">
        <f aca="false">IF(K9="não", N9*(C$24+D$24),N9*(C$24+D$24)+(M9*+E$24))</f>
        <v>2582.8135</v>
      </c>
      <c r="P9" s="67"/>
      <c r="Q9" s="22" t="str">
        <f aca="false">B9</f>
        <v>APS CAPINZAL</v>
      </c>
      <c r="R9" s="24" t="n">
        <f aca="false">H9*($C$24+$D$24)</f>
        <v>84.75</v>
      </c>
      <c r="S9" s="24" t="n">
        <f aca="false">I9*($C$24+$D$24)</f>
        <v>101.7</v>
      </c>
      <c r="T9" s="24" t="n">
        <f aca="false">L9*($C$24+$D$24)</f>
        <v>206.225</v>
      </c>
      <c r="U9" s="24" t="n">
        <f aca="false">IF(K9="não",M9*($C$24+$D$24),M9*(C$24+D$24+E$24))</f>
        <v>746.5635</v>
      </c>
      <c r="V9" s="24" t="n">
        <f aca="false">VLOOKUP(Q9,'Desl. Base Chapecó'!$C$5:$S$18,13,FALSE())*($C$24+$D$24+$E$24*(VLOOKUP(Q9,'Desl. Base Chapecó'!$C$5:$S$18,17,FALSE())/12))</f>
        <v>177.275659722222</v>
      </c>
      <c r="W9" s="24" t="n">
        <f aca="false">VLOOKUP(Q9,'Desl. Base Chapecó'!$C$5:$S$19,15,FALSE())*(2+(VLOOKUP(Q9,'Desl. Base Chapecó'!$C$5:$S$19,17,FALSE())/12))</f>
        <v>138.270833333333</v>
      </c>
      <c r="X9" s="24" t="n">
        <f aca="false">VLOOKUP(Q9,'Desl. Base Chapecó'!$C$5:$Q$18,14,FALSE())</f>
        <v>0</v>
      </c>
      <c r="Y9" s="24" t="n">
        <f aca="false">VLOOKUP(Q9,'Desl. Base Chapecó'!$C$5:$Q$18,13,FALSE())*'Desl. Base Chapecó'!$E$23+'Desl. Base Chapecó'!$E$24*N9/12</f>
        <v>177.146041666667</v>
      </c>
      <c r="Z9" s="24" t="n">
        <f aca="false">(H9/$AC$5)*'Equipe Técnica'!$C$13</f>
        <v>276.428370567099</v>
      </c>
      <c r="AA9" s="24" t="n">
        <f aca="false">(I9/$AC$5)*'Equipe Técnica'!$C$13</f>
        <v>331.714044680519</v>
      </c>
      <c r="AB9" s="24" t="n">
        <f aca="false">(L9/$AC$5)*'Equipe Técnica'!$C$13</f>
        <v>672.642368379941</v>
      </c>
      <c r="AC9" s="24" t="n">
        <f aca="false">(M9/$AC$5)*'Equipe Técnica'!$C$13</f>
        <v>1409.7846898922</v>
      </c>
      <c r="AD9" s="24" t="n">
        <f aca="false">R9+(($V9+$W9+$X9+$Y9)*12/19)+$Z9</f>
        <v>672.352603023239</v>
      </c>
      <c r="AE9" s="24" t="n">
        <f aca="false">S9+(($V9+$W9+$X9+$Y9)*12/19)+$AA9</f>
        <v>744.588277136659</v>
      </c>
      <c r="AF9" s="24" t="n">
        <f aca="false">T9+(($V9+$W9+$X9+$Y9)*12/19)+$AB9</f>
        <v>1190.04160083608</v>
      </c>
      <c r="AG9" s="24" t="n">
        <f aca="false">U9+(($V9+$W9+$X9+$Y9)*12/19)+$AC9</f>
        <v>2467.52242234834</v>
      </c>
      <c r="AI9" s="22" t="str">
        <f aca="false">B9</f>
        <v>APS CAPINZAL</v>
      </c>
      <c r="AJ9" s="68" t="n">
        <f aca="false">VLOOKUP(AI9,Unidades!D$5:H$28,5,)</f>
        <v>0.2223</v>
      </c>
      <c r="AK9" s="48" t="n">
        <f aca="false">AD9*(1+$AJ9)</f>
        <v>821.816586675305</v>
      </c>
      <c r="AL9" s="48" t="n">
        <f aca="false">AE9*(1+$AJ9)</f>
        <v>910.110251144138</v>
      </c>
      <c r="AM9" s="48" t="n">
        <f aca="false">AF9*(1+$AJ9)</f>
        <v>1454.58784870194</v>
      </c>
      <c r="AN9" s="48" t="n">
        <f aca="false">AG9*(1+$AJ9)</f>
        <v>3016.05265683638</v>
      </c>
      <c r="AO9" s="48" t="n">
        <f aca="false">((AK9*12)+(AL9*4)+(AM9*2)+AN9)/12</f>
        <v>1618.95569991004</v>
      </c>
      <c r="AP9" s="48" t="n">
        <f aca="false">AO9*3</f>
        <v>4856.86709973012</v>
      </c>
      <c r="AQ9" s="48" t="n">
        <f aca="false">AO9+AP9</f>
        <v>6475.82279964016</v>
      </c>
      <c r="AR9" s="69"/>
      <c r="AS9" s="69"/>
      <c r="AT9" s="71"/>
      <c r="AU9" s="71"/>
      <c r="AV9" s="71"/>
      <c r="AW9" s="71"/>
    </row>
    <row r="10" s="2" customFormat="true" ht="15" hidden="false" customHeight="true" outlineLevel="0" collapsed="false">
      <c r="B10" s="22" t="s">
        <v>86</v>
      </c>
      <c r="C10" s="64" t="n">
        <f aca="false">VLOOKUP($B10,Unidades!$D$5:$N$28,6,FALSE())</f>
        <v>3007</v>
      </c>
      <c r="D10" s="64" t="n">
        <f aca="false">VLOOKUP($B10,Unidades!$D$5:$N$28,7,FALSE())</f>
        <v>770</v>
      </c>
      <c r="E10" s="64" t="n">
        <f aca="false">VLOOKUP($B10,Unidades!$D$5:$N$28,8,FALSE())</f>
        <v>817</v>
      </c>
      <c r="F10" s="64" t="n">
        <f aca="false">VLOOKUP($B10,Unidades!$D$5:$N$28,9,FALSE())</f>
        <v>1420</v>
      </c>
      <c r="G10" s="64" t="n">
        <f aca="false">D10+E10*$E$6+F10*$F$6</f>
        <v>1197.95</v>
      </c>
      <c r="H10" s="65" t="n">
        <f aca="false">IF(G10&lt;750,1.5,IF(G10&lt;2000,2,3))</f>
        <v>2</v>
      </c>
      <c r="I10" s="65" t="n">
        <f aca="false">$I$6*H10</f>
        <v>2.4</v>
      </c>
      <c r="J10" s="65" t="str">
        <f aca="false">VLOOKUP($B10,Unidades!$D$5:$N$28,10,FALSE())</f>
        <v>SIM</v>
      </c>
      <c r="K10" s="65" t="str">
        <f aca="false">VLOOKUP($B10,Unidades!$D$5:$N$28,11,FALSE())</f>
        <v>SIM</v>
      </c>
      <c r="L10" s="65" t="n">
        <f aca="false">$L$6*H10+(IF(J10="SIM",$J$6,0))</f>
        <v>4.2</v>
      </c>
      <c r="M10" s="65" t="n">
        <f aca="false">$M$6*H10+(IF(J10="SIM",$J$6,0))+(IF(K10="SIM",$K$6,0))</f>
        <v>8.2</v>
      </c>
      <c r="N10" s="65" t="n">
        <f aca="false">H10*12+I10*4+L10*2+M10</f>
        <v>50.2</v>
      </c>
      <c r="O10" s="66" t="n">
        <f aca="false">IF(K10="não", N10*(C$24+D$24),N10*(C$24+D$24)+(M10*+E$24))</f>
        <v>3173.238</v>
      </c>
      <c r="P10" s="67"/>
      <c r="Q10" s="22" t="str">
        <f aca="false">B10</f>
        <v>APS CHAPECÓ</v>
      </c>
      <c r="R10" s="24" t="n">
        <f aca="false">H10*($C$24+$D$24)</f>
        <v>113</v>
      </c>
      <c r="S10" s="24" t="n">
        <f aca="false">I10*($C$24+$D$24)</f>
        <v>135.6</v>
      </c>
      <c r="T10" s="24" t="n">
        <f aca="false">L10*($C$24+$D$24)</f>
        <v>237.3</v>
      </c>
      <c r="U10" s="24" t="n">
        <f aca="false">IF(K10="não",M10*($C$24+$D$24),M10*(C$24+D$24+E$24))</f>
        <v>800.238</v>
      </c>
      <c r="V10" s="24" t="n">
        <f aca="false">VLOOKUP(Q10,'Desl. Base Chapecó'!$C$5:$S$18,13,FALSE())*($C$24+$D$24+$E$24*(VLOOKUP(Q10,'Desl. Base Chapecó'!$C$5:$S$18,17,FALSE())/12))</f>
        <v>1.99747222222222</v>
      </c>
      <c r="W10" s="24" t="n">
        <f aca="false">VLOOKUP(Q10,'Desl. Base Chapecó'!$C$5:$S$19,15,FALSE())*(2+(VLOOKUP(Q10,'Desl. Base Chapecó'!$C$5:$S$19,17,FALSE())/12))</f>
        <v>0</v>
      </c>
      <c r="X10" s="24" t="n">
        <f aca="false">VLOOKUP(Q10,'Desl. Base Chapecó'!$C$5:$Q$18,14,FALSE())</f>
        <v>0</v>
      </c>
      <c r="Y10" s="24" t="n">
        <f aca="false">VLOOKUP(Q10,'Desl. Base Chapecó'!$C$5:$Q$18,13,FALSE())*'Desl. Base Chapecó'!$E$23+'Desl. Base Chapecó'!$E$24*N10/12</f>
        <v>30.8081666666667</v>
      </c>
      <c r="Z10" s="24" t="n">
        <f aca="false">(H10/$AC$5)*'Equipe Técnica'!$C$13</f>
        <v>368.571160756132</v>
      </c>
      <c r="AA10" s="24" t="n">
        <f aca="false">(I10/$AC$5)*'Equipe Técnica'!$C$13</f>
        <v>442.285392907358</v>
      </c>
      <c r="AB10" s="24" t="n">
        <f aca="false">(L10/$AC$5)*'Equipe Técnica'!$C$13</f>
        <v>773.999437587877</v>
      </c>
      <c r="AC10" s="24" t="n">
        <f aca="false">(M10/$AC$5)*'Equipe Técnica'!$C$13</f>
        <v>1511.14175910014</v>
      </c>
      <c r="AD10" s="24" t="n">
        <f aca="false">R10+(($V10+$W10+$X10+$Y10)*12/19)+$Z10</f>
        <v>502.290511633325</v>
      </c>
      <c r="AE10" s="24" t="n">
        <f aca="false">S10+(($V10+$W10+$X10+$Y10)*12/19)+$AA10</f>
        <v>598.604743784551</v>
      </c>
      <c r="AF10" s="24" t="n">
        <f aca="false">T10+(($V10+$W10+$X10+$Y10)*12/19)+$AB10</f>
        <v>1032.01878846507</v>
      </c>
      <c r="AG10" s="24" t="n">
        <f aca="false">U10+(($V10+$W10+$X10+$Y10)*12/19)+$AC10</f>
        <v>2332.09910997733</v>
      </c>
      <c r="AI10" s="22" t="str">
        <f aca="false">B10</f>
        <v>APS CHAPECÓ</v>
      </c>
      <c r="AJ10" s="68" t="n">
        <f aca="false">VLOOKUP(AI10,Unidades!D$5:H$28,5,)</f>
        <v>0.2223</v>
      </c>
      <c r="AK10" s="48" t="n">
        <f aca="false">AD10*(1+$AJ10)</f>
        <v>613.949692369413</v>
      </c>
      <c r="AL10" s="48" t="n">
        <f aca="false">AE10*(1+$AJ10)</f>
        <v>731.674578327857</v>
      </c>
      <c r="AM10" s="48" t="n">
        <f aca="false">AF10*(1+$AJ10)</f>
        <v>1261.43656514086</v>
      </c>
      <c r="AN10" s="48" t="n">
        <f aca="false">AG10*(1+$AJ10)</f>
        <v>2850.52474212529</v>
      </c>
      <c r="AO10" s="48" t="n">
        <f aca="false">((AK10*12)+(AL10*4)+(AM10*2)+AN10)/12</f>
        <v>1305.62437451262</v>
      </c>
      <c r="AP10" s="48" t="n">
        <f aca="false">AO10*3</f>
        <v>3916.87312353785</v>
      </c>
      <c r="AQ10" s="48" t="n">
        <f aca="false">AO10+AP10</f>
        <v>5222.49749805046</v>
      </c>
      <c r="AR10" s="69"/>
      <c r="AS10" s="72" t="s">
        <v>72</v>
      </c>
      <c r="AT10" s="48" t="n">
        <f aca="false">(SUM(AT8:AW8))/12</f>
        <v>22401.6781301322</v>
      </c>
      <c r="AU10" s="48"/>
      <c r="AV10" s="71"/>
      <c r="AW10" s="71"/>
    </row>
    <row r="11" customFormat="false" ht="15" hidden="false" customHeight="true" outlineLevel="0" collapsed="false">
      <c r="A11" s="2"/>
      <c r="B11" s="22" t="s">
        <v>87</v>
      </c>
      <c r="C11" s="64" t="n">
        <f aca="false">VLOOKUP($B11,Unidades!$D$5:$N$28,6,FALSE())</f>
        <v>834</v>
      </c>
      <c r="D11" s="64" t="n">
        <f aca="false">VLOOKUP($B11,Unidades!$D$5:$N$28,7,FALSE())</f>
        <v>741</v>
      </c>
      <c r="E11" s="64" t="n">
        <f aca="false">VLOOKUP($B11,Unidades!$D$5:$N$28,8,FALSE())</f>
        <v>93</v>
      </c>
      <c r="F11" s="64" t="n">
        <f aca="false">VLOOKUP($B11,Unidades!$D$5:$N$28,9,FALSE())</f>
        <v>0</v>
      </c>
      <c r="G11" s="64" t="n">
        <f aca="false">D11+E11*$E$6+F11*$F$6</f>
        <v>773.55</v>
      </c>
      <c r="H11" s="65" t="n">
        <f aca="false">IF(G11&lt;750,1.5,IF(G11&lt;2000,2,3))</f>
        <v>2</v>
      </c>
      <c r="I11" s="65" t="n">
        <f aca="false">$I$6*H11</f>
        <v>2.4</v>
      </c>
      <c r="J11" s="65" t="str">
        <f aca="false">VLOOKUP($B11,Unidades!$D$5:$N$28,10,FALSE())</f>
        <v>SIM</v>
      </c>
      <c r="K11" s="65" t="str">
        <f aca="false">VLOOKUP($B11,Unidades!$D$5:$N$28,11,FALSE())</f>
        <v>SIM</v>
      </c>
      <c r="L11" s="65" t="n">
        <f aca="false">$L$6*H11+(IF(J11="SIM",$J$6,0))</f>
        <v>4.2</v>
      </c>
      <c r="M11" s="65" t="n">
        <f aca="false">$M$6*H11+(IF(J11="SIM",$J$6,0))+(IF(K11="SIM",$K$6,0))</f>
        <v>8.2</v>
      </c>
      <c r="N11" s="65" t="n">
        <f aca="false">H11*12+I11*4+L11*2+M11</f>
        <v>50.2</v>
      </c>
      <c r="O11" s="66" t="n">
        <f aca="false">IF(K11="não", N11*(C$24+D$24),N11*(C$24+D$24)+(M11*+E$24))</f>
        <v>3173.238</v>
      </c>
      <c r="P11" s="67"/>
      <c r="Q11" s="22" t="str">
        <f aca="false">B11</f>
        <v>APS CONCÓRDIA</v>
      </c>
      <c r="R11" s="24" t="n">
        <f aca="false">H11*($C$24+$D$24)</f>
        <v>113</v>
      </c>
      <c r="S11" s="24" t="n">
        <f aca="false">I11*($C$24+$D$24)</f>
        <v>135.6</v>
      </c>
      <c r="T11" s="24" t="n">
        <f aca="false">L11*($C$24+$D$24)</f>
        <v>237.3</v>
      </c>
      <c r="U11" s="24" t="n">
        <f aca="false">IF(K11="não",M11*($C$24+$D$24),M11*(C$24+D$24+E$24))</f>
        <v>800.238</v>
      </c>
      <c r="V11" s="24" t="n">
        <f aca="false">VLOOKUP(Q11,'Desl. Base Chapecó'!$C$5:$S$18,13,FALSE())*($C$24+$D$24+$E$24*(VLOOKUP(Q11,'Desl. Base Chapecó'!$C$5:$S$18,17,FALSE())/12))</f>
        <v>177.275659722222</v>
      </c>
      <c r="W11" s="24" t="n">
        <f aca="false">VLOOKUP(Q11,'Desl. Base Chapecó'!$C$5:$S$19,15,FALSE())*(2+(VLOOKUP(Q11,'Desl. Base Chapecó'!$C$5:$S$19,17,FALSE())/12))</f>
        <v>138.270833333333</v>
      </c>
      <c r="X11" s="24" t="n">
        <f aca="false">VLOOKUP(Q11,'Desl. Base Chapecó'!$C$5:$Q$18,14,FALSE())</f>
        <v>0</v>
      </c>
      <c r="Y11" s="24" t="n">
        <f aca="false">VLOOKUP(Q11,'Desl. Base Chapecó'!$C$5:$Q$18,13,FALSE())*'Desl. Base Chapecó'!$E$23+'Desl. Base Chapecó'!$E$24*N11/12</f>
        <v>182.966666666667</v>
      </c>
      <c r="Z11" s="24" t="n">
        <f aca="false">(H11/$AC$5)*'Equipe Técnica'!$C$13</f>
        <v>368.571160756132</v>
      </c>
      <c r="AA11" s="24" t="n">
        <f aca="false">(I11/$AC$5)*'Equipe Técnica'!$C$13</f>
        <v>442.285392907358</v>
      </c>
      <c r="AB11" s="24" t="n">
        <f aca="false">(L11/$AC$5)*'Equipe Técnica'!$C$13</f>
        <v>773.999437587877</v>
      </c>
      <c r="AC11" s="24" t="n">
        <f aca="false">(M11/$AC$5)*'Equipe Técnica'!$C$13</f>
        <v>1511.14175910014</v>
      </c>
      <c r="AD11" s="24" t="n">
        <f aca="false">R11+(($V11+$W11+$X11+$Y11)*12/19)+$Z11</f>
        <v>796.421577422798</v>
      </c>
      <c r="AE11" s="24" t="n">
        <f aca="false">S11+(($V11+$W11+$X11+$Y11)*12/19)+$AA11</f>
        <v>892.735809574025</v>
      </c>
      <c r="AF11" s="24" t="n">
        <f aca="false">T11+(($V11+$W11+$X11+$Y11)*12/19)+$AB11</f>
        <v>1326.14985425454</v>
      </c>
      <c r="AG11" s="24" t="n">
        <f aca="false">U11+(($V11+$W11+$X11+$Y11)*12/19)+$AC11</f>
        <v>2626.23017576681</v>
      </c>
      <c r="AH11" s="2"/>
      <c r="AI11" s="22" t="str">
        <f aca="false">B11</f>
        <v>APS CONCÓRDIA</v>
      </c>
      <c r="AJ11" s="68" t="n">
        <f aca="false">VLOOKUP(AI11,Unidades!D$5:H$28,5,)</f>
        <v>0.2223</v>
      </c>
      <c r="AK11" s="48" t="n">
        <f aca="false">AD11*(1+$AJ11)</f>
        <v>973.466094083886</v>
      </c>
      <c r="AL11" s="48" t="n">
        <f aca="false">AE11*(1+$AJ11)</f>
        <v>1091.19098004233</v>
      </c>
      <c r="AM11" s="48" t="n">
        <f aca="false">AF11*(1+$AJ11)</f>
        <v>1620.95296685533</v>
      </c>
      <c r="AN11" s="48" t="n">
        <f aca="false">AG11*(1+$AJ11)</f>
        <v>3210.04114383977</v>
      </c>
      <c r="AO11" s="48" t="n">
        <f aca="false">((AK11*12)+(AL11*4)+(AM11*2)+AN11)/12</f>
        <v>1874.8586772272</v>
      </c>
      <c r="AP11" s="48" t="n">
        <f aca="false">AO11*3</f>
        <v>5624.5760316816</v>
      </c>
      <c r="AQ11" s="48" t="n">
        <f aca="false">AO11+AP11</f>
        <v>7499.43470890879</v>
      </c>
      <c r="AR11" s="69"/>
      <c r="AS11" s="72" t="s">
        <v>88</v>
      </c>
      <c r="AT11" s="48" t="n">
        <f aca="false">AT10*12</f>
        <v>268820.137561587</v>
      </c>
      <c r="AU11" s="48"/>
      <c r="AV11" s="71"/>
      <c r="AW11" s="71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  <c r="BV11" s="2"/>
      <c r="BW11" s="2"/>
      <c r="BX11" s="2"/>
      <c r="BY11" s="2"/>
      <c r="BZ11" s="2"/>
      <c r="CA11" s="2"/>
      <c r="CB11" s="2"/>
      <c r="CC11" s="2"/>
      <c r="CD11" s="2"/>
      <c r="CE11" s="2"/>
      <c r="CF11" s="2"/>
      <c r="CG11" s="2"/>
      <c r="CH11" s="2"/>
      <c r="CI11" s="2"/>
      <c r="CJ11" s="2"/>
      <c r="CK11" s="2"/>
      <c r="CL11" s="2"/>
      <c r="CM11" s="2"/>
      <c r="CN11" s="2"/>
      <c r="CO11" s="2"/>
      <c r="CP11" s="2"/>
      <c r="CQ11" s="2"/>
      <c r="CR11" s="2"/>
      <c r="CS11" s="2"/>
      <c r="CT11" s="2"/>
      <c r="CU11" s="2"/>
      <c r="CV11" s="2"/>
      <c r="CW11" s="2"/>
      <c r="CX11" s="2"/>
      <c r="CY11" s="2"/>
      <c r="CZ11" s="2"/>
      <c r="DA11" s="2"/>
      <c r="DB11" s="2"/>
      <c r="DC11" s="2"/>
      <c r="DD11" s="2"/>
      <c r="DE11" s="2"/>
      <c r="DF11" s="2"/>
      <c r="DG11" s="2"/>
      <c r="DH11" s="2"/>
      <c r="DI11" s="2"/>
      <c r="DJ11" s="2"/>
      <c r="DK11" s="2"/>
      <c r="DL11" s="2"/>
      <c r="DM11" s="2"/>
      <c r="DN11" s="2"/>
      <c r="DO11" s="2"/>
      <c r="DP11" s="2"/>
      <c r="DQ11" s="2"/>
      <c r="DR11" s="2"/>
      <c r="DS11" s="2"/>
      <c r="DT11" s="2"/>
      <c r="DU11" s="2"/>
      <c r="DV11" s="2"/>
      <c r="DW11" s="2"/>
      <c r="DX11" s="2"/>
      <c r="DY11" s="2"/>
      <c r="DZ11" s="2"/>
      <c r="EA11" s="2"/>
      <c r="EB11" s="2"/>
      <c r="EC11" s="2"/>
      <c r="ED11" s="2"/>
      <c r="EE11" s="2"/>
      <c r="EF11" s="2"/>
      <c r="EG11" s="2"/>
      <c r="EH11" s="2"/>
      <c r="EI11" s="2"/>
      <c r="EJ11" s="2"/>
      <c r="EK11" s="2"/>
      <c r="EL11" s="2"/>
      <c r="EM11" s="2"/>
      <c r="EN11" s="2"/>
      <c r="EO11" s="2"/>
      <c r="EP11" s="2"/>
      <c r="EQ11" s="2"/>
      <c r="ER11" s="2"/>
      <c r="ES11" s="2"/>
      <c r="ET11" s="2"/>
      <c r="EU11" s="2"/>
      <c r="EV11" s="2"/>
      <c r="EW11" s="2"/>
      <c r="EX11" s="2"/>
      <c r="EY11" s="2"/>
      <c r="EZ11" s="2"/>
      <c r="FA11" s="2"/>
      <c r="FB11" s="2"/>
      <c r="FC11" s="2"/>
      <c r="FD11" s="2"/>
      <c r="FE11" s="2"/>
      <c r="FF11" s="2"/>
      <c r="FG11" s="2"/>
      <c r="FH11" s="2"/>
      <c r="FI11" s="2"/>
      <c r="FJ11" s="2"/>
      <c r="FK11" s="2"/>
      <c r="FL11" s="2"/>
      <c r="FM11" s="2"/>
      <c r="FN11" s="2"/>
      <c r="FO11" s="2"/>
      <c r="FP11" s="2"/>
      <c r="FQ11" s="2"/>
      <c r="FR11" s="2"/>
      <c r="FS11" s="2"/>
      <c r="FT11" s="2"/>
      <c r="FU11" s="2"/>
      <c r="FV11" s="2"/>
      <c r="FW11" s="2"/>
      <c r="FX11" s="2"/>
      <c r="FY11" s="2"/>
      <c r="FZ11" s="2"/>
      <c r="GA11" s="2"/>
      <c r="GB11" s="2"/>
      <c r="GC11" s="2"/>
      <c r="GD11" s="2"/>
      <c r="GE11" s="2"/>
      <c r="GF11" s="2"/>
      <c r="GG11" s="2"/>
      <c r="GH11" s="2"/>
      <c r="GI11" s="2"/>
      <c r="GJ11" s="2"/>
      <c r="GK11" s="2"/>
      <c r="GL11" s="2"/>
      <c r="GM11" s="2"/>
      <c r="GN11" s="2"/>
      <c r="GO11" s="2"/>
      <c r="GP11" s="2"/>
      <c r="GQ11" s="2"/>
      <c r="GR11" s="2"/>
      <c r="GS11" s="2"/>
      <c r="GT11" s="2"/>
      <c r="GU11" s="2"/>
      <c r="GV11" s="2"/>
      <c r="GW11" s="2"/>
      <c r="GX11" s="2"/>
      <c r="GY11" s="2"/>
      <c r="GZ11" s="2"/>
      <c r="HA11" s="2"/>
      <c r="HB11" s="2"/>
      <c r="HC11" s="2"/>
      <c r="HD11" s="2"/>
      <c r="HE11" s="2"/>
      <c r="HF11" s="2"/>
      <c r="HG11" s="2"/>
      <c r="HH11" s="2"/>
      <c r="HI11" s="2"/>
      <c r="HJ11" s="2"/>
      <c r="HK11" s="2"/>
      <c r="HL11" s="2"/>
      <c r="HM11" s="2"/>
      <c r="HN11" s="2"/>
      <c r="HO11" s="2"/>
      <c r="HP11" s="2"/>
      <c r="HQ11" s="2"/>
      <c r="HR11" s="2"/>
      <c r="HS11" s="2"/>
      <c r="HT11" s="2"/>
      <c r="HU11" s="2"/>
      <c r="HV11" s="2"/>
      <c r="HW11" s="2"/>
      <c r="HX11" s="2"/>
      <c r="HY11" s="2"/>
      <c r="HZ11" s="2"/>
      <c r="IA11" s="2"/>
      <c r="IB11" s="2"/>
      <c r="IC11" s="2"/>
      <c r="ID11" s="2"/>
      <c r="IE11" s="2"/>
      <c r="IF11" s="2"/>
      <c r="IG11" s="2"/>
      <c r="IH11" s="2"/>
      <c r="II11" s="2"/>
      <c r="IJ11" s="2"/>
      <c r="IK11" s="2"/>
      <c r="IL11" s="2"/>
      <c r="IM11" s="2"/>
      <c r="IN11" s="2"/>
      <c r="IO11" s="2"/>
      <c r="IP11" s="2"/>
      <c r="IQ11" s="2"/>
      <c r="IR11" s="2"/>
      <c r="IS11" s="2"/>
      <c r="IT11" s="2"/>
      <c r="IU11" s="2"/>
      <c r="IV11" s="2"/>
      <c r="IW11" s="2"/>
      <c r="IX11" s="2"/>
      <c r="IY11" s="2"/>
      <c r="IZ11" s="2"/>
      <c r="JA11" s="2"/>
      <c r="JB11" s="2"/>
      <c r="JC11" s="2"/>
      <c r="JD11" s="2"/>
      <c r="JE11" s="2"/>
      <c r="JF11" s="2"/>
      <c r="JG11" s="2"/>
      <c r="JH11" s="2"/>
      <c r="JI11" s="2"/>
      <c r="JJ11" s="2"/>
      <c r="JK11" s="2"/>
      <c r="JL11" s="2"/>
      <c r="JM11" s="2"/>
      <c r="JN11" s="2"/>
      <c r="JO11" s="2"/>
      <c r="JP11" s="2"/>
      <c r="JQ11" s="2"/>
      <c r="JR11" s="2"/>
      <c r="JS11" s="2"/>
      <c r="JT11" s="2"/>
      <c r="JU11" s="2"/>
      <c r="JV11" s="2"/>
      <c r="JW11" s="2"/>
      <c r="JX11" s="2"/>
      <c r="JY11" s="2"/>
      <c r="JZ11" s="2"/>
      <c r="KA11" s="2"/>
      <c r="KB11" s="2"/>
      <c r="KC11" s="2"/>
      <c r="KD11" s="2"/>
      <c r="KE11" s="2"/>
      <c r="KF11" s="2"/>
      <c r="KG11" s="2"/>
      <c r="KH11" s="2"/>
      <c r="KI11" s="2"/>
      <c r="KJ11" s="2"/>
      <c r="KK11" s="2"/>
      <c r="KL11" s="2"/>
      <c r="KM11" s="2"/>
      <c r="KN11" s="2"/>
      <c r="KO11" s="2"/>
      <c r="KP11" s="2"/>
      <c r="KQ11" s="2"/>
      <c r="KR11" s="2"/>
      <c r="KS11" s="2"/>
      <c r="KT11" s="2"/>
      <c r="KU11" s="2"/>
      <c r="KV11" s="2"/>
      <c r="KW11" s="2"/>
      <c r="KX11" s="2"/>
      <c r="KY11" s="2"/>
      <c r="KZ11" s="2"/>
      <c r="LA11" s="2"/>
      <c r="LB11" s="2"/>
      <c r="LC11" s="2"/>
      <c r="LD11" s="2"/>
      <c r="LE11" s="2"/>
      <c r="LF11" s="2"/>
      <c r="LG11" s="2"/>
      <c r="LH11" s="2"/>
      <c r="LI11" s="2"/>
      <c r="LJ11" s="2"/>
      <c r="LK11" s="2"/>
      <c r="LL11" s="2"/>
      <c r="LM11" s="2"/>
      <c r="LN11" s="2"/>
      <c r="LO11" s="2"/>
      <c r="LP11" s="2"/>
      <c r="LQ11" s="2"/>
      <c r="LR11" s="2"/>
      <c r="LS11" s="2"/>
      <c r="LT11" s="2"/>
      <c r="LU11" s="2"/>
      <c r="LV11" s="2"/>
      <c r="LW11" s="2"/>
      <c r="LX11" s="2"/>
      <c r="LY11" s="2"/>
      <c r="LZ11" s="2"/>
      <c r="MA11" s="2"/>
      <c r="MB11" s="2"/>
      <c r="MC11" s="2"/>
      <c r="MD11" s="2"/>
      <c r="ME11" s="2"/>
      <c r="MF11" s="2"/>
      <c r="MG11" s="2"/>
      <c r="MH11" s="2"/>
      <c r="MI11" s="2"/>
      <c r="MJ11" s="2"/>
      <c r="MK11" s="2"/>
      <c r="ML11" s="2"/>
      <c r="MM11" s="2"/>
      <c r="MN11" s="2"/>
      <c r="MO11" s="2"/>
      <c r="MP11" s="2"/>
      <c r="MQ11" s="2"/>
      <c r="MR11" s="2"/>
      <c r="MS11" s="2"/>
      <c r="MT11" s="2"/>
      <c r="MU11" s="2"/>
      <c r="MV11" s="2"/>
      <c r="MW11" s="2"/>
      <c r="MX11" s="2"/>
      <c r="MY11" s="2"/>
      <c r="MZ11" s="2"/>
      <c r="NA11" s="2"/>
      <c r="NB11" s="2"/>
      <c r="NC11" s="2"/>
      <c r="ND11" s="2"/>
      <c r="NE11" s="2"/>
      <c r="NF11" s="2"/>
      <c r="NG11" s="2"/>
      <c r="NH11" s="2"/>
      <c r="NI11" s="2"/>
      <c r="NJ11" s="2"/>
      <c r="NK11" s="2"/>
      <c r="NL11" s="2"/>
      <c r="NM11" s="2"/>
      <c r="NN11" s="2"/>
      <c r="NO11" s="2"/>
      <c r="NP11" s="2"/>
      <c r="NQ11" s="2"/>
      <c r="NR11" s="2"/>
      <c r="NS11" s="2"/>
      <c r="NT11" s="2"/>
      <c r="NU11" s="2"/>
      <c r="NV11" s="2"/>
      <c r="NW11" s="2"/>
      <c r="NX11" s="2"/>
      <c r="NY11" s="2"/>
      <c r="NZ11" s="2"/>
      <c r="OA11" s="2"/>
      <c r="OB11" s="2"/>
      <c r="OC11" s="2"/>
      <c r="OD11" s="2"/>
      <c r="OE11" s="2"/>
      <c r="OF11" s="2"/>
      <c r="OG11" s="2"/>
      <c r="OH11" s="2"/>
      <c r="OI11" s="2"/>
      <c r="OJ11" s="2"/>
      <c r="OK11" s="2"/>
      <c r="OL11" s="2"/>
      <c r="OM11" s="2"/>
      <c r="ON11" s="2"/>
      <c r="OO11" s="2"/>
      <c r="OP11" s="2"/>
      <c r="OQ11" s="2"/>
      <c r="OR11" s="2"/>
      <c r="OS11" s="2"/>
      <c r="OT11" s="2"/>
      <c r="OU11" s="2"/>
      <c r="OV11" s="2"/>
      <c r="OW11" s="2"/>
      <c r="OX11" s="2"/>
      <c r="OY11" s="2"/>
      <c r="OZ11" s="2"/>
      <c r="PA11" s="2"/>
      <c r="PB11" s="2"/>
      <c r="PC11" s="2"/>
      <c r="PD11" s="2"/>
      <c r="PE11" s="2"/>
      <c r="PF11" s="2"/>
      <c r="PG11" s="2"/>
      <c r="PH11" s="2"/>
      <c r="PI11" s="2"/>
      <c r="PJ11" s="2"/>
      <c r="PK11" s="2"/>
      <c r="PL11" s="2"/>
      <c r="PM11" s="2"/>
      <c r="PN11" s="2"/>
      <c r="PO11" s="2"/>
      <c r="PP11" s="2"/>
      <c r="PQ11" s="2"/>
      <c r="PR11" s="2"/>
      <c r="PS11" s="2"/>
      <c r="PT11" s="2"/>
      <c r="PU11" s="2"/>
      <c r="PV11" s="2"/>
      <c r="PW11" s="2"/>
      <c r="PX11" s="2"/>
      <c r="PY11" s="2"/>
      <c r="PZ11" s="2"/>
      <c r="QA11" s="2"/>
      <c r="QB11" s="2"/>
      <c r="QC11" s="2"/>
      <c r="QD11" s="2"/>
      <c r="QE11" s="2"/>
      <c r="QF11" s="2"/>
      <c r="QG11" s="2"/>
      <c r="QH11" s="2"/>
      <c r="QI11" s="2"/>
      <c r="QJ11" s="2"/>
      <c r="QK11" s="2"/>
      <c r="QL11" s="2"/>
      <c r="QM11" s="2"/>
      <c r="QN11" s="2"/>
      <c r="QO11" s="2"/>
      <c r="QP11" s="2"/>
      <c r="QQ11" s="2"/>
      <c r="QR11" s="2"/>
      <c r="QS11" s="2"/>
      <c r="QT11" s="2"/>
      <c r="QU11" s="2"/>
      <c r="QV11" s="2"/>
      <c r="QW11" s="2"/>
      <c r="QX11" s="2"/>
      <c r="QY11" s="2"/>
      <c r="QZ11" s="2"/>
      <c r="RA11" s="2"/>
      <c r="RB11" s="2"/>
      <c r="RC11" s="2"/>
      <c r="RD11" s="2"/>
      <c r="RE11" s="2"/>
      <c r="RF11" s="2"/>
      <c r="RG11" s="2"/>
      <c r="RH11" s="2"/>
      <c r="RI11" s="2"/>
      <c r="RJ11" s="2"/>
      <c r="RK11" s="2"/>
      <c r="RL11" s="2"/>
      <c r="RM11" s="2"/>
      <c r="RN11" s="2"/>
      <c r="RO11" s="2"/>
      <c r="RP11" s="2"/>
      <c r="RQ11" s="2"/>
      <c r="RR11" s="2"/>
      <c r="RS11" s="2"/>
      <c r="RT11" s="2"/>
      <c r="RU11" s="2"/>
      <c r="RV11" s="2"/>
      <c r="RW11" s="2"/>
      <c r="RX11" s="2"/>
      <c r="RY11" s="2"/>
      <c r="RZ11" s="2"/>
      <c r="SA11" s="2"/>
      <c r="SB11" s="2"/>
      <c r="SC11" s="2"/>
      <c r="SD11" s="2"/>
      <c r="SE11" s="2"/>
      <c r="SF11" s="2"/>
      <c r="SG11" s="2"/>
      <c r="SH11" s="2"/>
      <c r="SI11" s="2"/>
      <c r="SJ11" s="2"/>
      <c r="SK11" s="2"/>
      <c r="SL11" s="2"/>
      <c r="SM11" s="2"/>
      <c r="SN11" s="2"/>
      <c r="SO11" s="2"/>
      <c r="SP11" s="2"/>
      <c r="SQ11" s="2"/>
      <c r="SR11" s="2"/>
      <c r="SS11" s="2"/>
      <c r="ST11" s="2"/>
      <c r="SU11" s="2"/>
      <c r="SV11" s="2"/>
      <c r="SW11" s="2"/>
      <c r="SX11" s="2"/>
      <c r="SY11" s="2"/>
      <c r="SZ11" s="2"/>
      <c r="TA11" s="2"/>
      <c r="TB11" s="2"/>
      <c r="TC11" s="2"/>
      <c r="TD11" s="2"/>
      <c r="TE11" s="2"/>
      <c r="TF11" s="2"/>
      <c r="TG11" s="2"/>
      <c r="TH11" s="2"/>
      <c r="TI11" s="2"/>
      <c r="TJ11" s="2"/>
      <c r="TK11" s="2"/>
      <c r="TL11" s="2"/>
      <c r="TM11" s="2"/>
      <c r="TN11" s="2"/>
      <c r="TO11" s="2"/>
      <c r="TP11" s="2"/>
      <c r="TQ11" s="2"/>
      <c r="TR11" s="2"/>
      <c r="TS11" s="2"/>
      <c r="TT11" s="2"/>
      <c r="TU11" s="2"/>
      <c r="TV11" s="2"/>
      <c r="TW11" s="2"/>
      <c r="TX11" s="2"/>
      <c r="TY11" s="2"/>
      <c r="TZ11" s="2"/>
      <c r="UA11" s="2"/>
      <c r="UB11" s="2"/>
      <c r="UC11" s="2"/>
      <c r="UD11" s="2"/>
      <c r="UE11" s="2"/>
      <c r="UF11" s="2"/>
      <c r="UG11" s="2"/>
      <c r="UH11" s="2"/>
      <c r="UI11" s="2"/>
      <c r="UJ11" s="2"/>
      <c r="UK11" s="2"/>
      <c r="UL11" s="2"/>
      <c r="UM11" s="2"/>
      <c r="UN11" s="2"/>
      <c r="UO11" s="2"/>
      <c r="UP11" s="2"/>
      <c r="UQ11" s="2"/>
      <c r="UR11" s="2"/>
      <c r="US11" s="2"/>
      <c r="UT11" s="2"/>
      <c r="UU11" s="2"/>
      <c r="UV11" s="2"/>
      <c r="UW11" s="2"/>
      <c r="UX11" s="2"/>
      <c r="UY11" s="2"/>
      <c r="UZ11" s="2"/>
      <c r="VA11" s="2"/>
      <c r="VB11" s="2"/>
      <c r="VC11" s="2"/>
      <c r="VD11" s="2"/>
      <c r="VE11" s="2"/>
      <c r="VF11" s="2"/>
      <c r="VG11" s="2"/>
      <c r="VH11" s="2"/>
      <c r="VI11" s="2"/>
      <c r="VJ11" s="2"/>
      <c r="VK11" s="2"/>
      <c r="VL11" s="2"/>
      <c r="VM11" s="2"/>
      <c r="VN11" s="2"/>
      <c r="VO11" s="2"/>
      <c r="VP11" s="2"/>
      <c r="VQ11" s="2"/>
      <c r="VR11" s="2"/>
      <c r="VS11" s="2"/>
      <c r="VT11" s="2"/>
      <c r="VU11" s="2"/>
      <c r="VV11" s="2"/>
      <c r="VW11" s="2"/>
      <c r="VX11" s="2"/>
      <c r="VY11" s="2"/>
      <c r="VZ11" s="2"/>
      <c r="WA11" s="2"/>
      <c r="WB11" s="2"/>
      <c r="WC11" s="2"/>
      <c r="WD11" s="2"/>
      <c r="WE11" s="2"/>
      <c r="WF11" s="2"/>
      <c r="WG11" s="2"/>
      <c r="WH11" s="2"/>
      <c r="WI11" s="2"/>
      <c r="WJ11" s="2"/>
      <c r="WK11" s="2"/>
      <c r="WL11" s="2"/>
      <c r="WM11" s="2"/>
      <c r="WN11" s="2"/>
      <c r="WO11" s="2"/>
      <c r="WP11" s="2"/>
      <c r="WQ11" s="2"/>
      <c r="WR11" s="2"/>
      <c r="WS11" s="2"/>
      <c r="WT11" s="2"/>
      <c r="WU11" s="2"/>
      <c r="WV11" s="2"/>
      <c r="WW11" s="2"/>
      <c r="WX11" s="2"/>
      <c r="WY11" s="2"/>
      <c r="WZ11" s="2"/>
      <c r="XA11" s="2"/>
      <c r="XB11" s="2"/>
      <c r="XC11" s="2"/>
      <c r="XD11" s="2"/>
      <c r="XE11" s="2"/>
      <c r="XF11" s="2"/>
      <c r="XG11" s="2"/>
      <c r="XH11" s="2"/>
      <c r="XI11" s="2"/>
      <c r="XJ11" s="2"/>
      <c r="XK11" s="2"/>
      <c r="XL11" s="2"/>
      <c r="XM11" s="2"/>
      <c r="XN11" s="2"/>
      <c r="XO11" s="2"/>
      <c r="XP11" s="2"/>
      <c r="XQ11" s="2"/>
      <c r="XR11" s="2"/>
      <c r="XS11" s="2"/>
      <c r="XT11" s="2"/>
      <c r="XU11" s="2"/>
      <c r="XV11" s="2"/>
      <c r="XW11" s="2"/>
      <c r="XX11" s="2"/>
      <c r="XY11" s="2"/>
      <c r="XZ11" s="2"/>
      <c r="YA11" s="2"/>
      <c r="YB11" s="2"/>
      <c r="YC11" s="2"/>
      <c r="YD11" s="2"/>
      <c r="YE11" s="2"/>
      <c r="YF11" s="2"/>
      <c r="YG11" s="2"/>
      <c r="YH11" s="2"/>
      <c r="YI11" s="2"/>
      <c r="YJ11" s="2"/>
      <c r="YK11" s="2"/>
      <c r="YL11" s="2"/>
      <c r="YM11" s="2"/>
      <c r="YN11" s="2"/>
      <c r="YO11" s="2"/>
      <c r="YP11" s="2"/>
      <c r="YQ11" s="2"/>
      <c r="YR11" s="2"/>
      <c r="YS11" s="2"/>
      <c r="YT11" s="2"/>
      <c r="YU11" s="2"/>
      <c r="YV11" s="2"/>
      <c r="YW11" s="2"/>
      <c r="YX11" s="2"/>
      <c r="YY11" s="2"/>
      <c r="YZ11" s="2"/>
      <c r="ZA11" s="2"/>
      <c r="ZB11" s="2"/>
      <c r="ZC11" s="2"/>
      <c r="ZD11" s="2"/>
      <c r="ZE11" s="2"/>
      <c r="ZF11" s="2"/>
      <c r="ZG11" s="2"/>
      <c r="ZH11" s="2"/>
      <c r="ZI11" s="2"/>
      <c r="ZJ11" s="2"/>
      <c r="ZK11" s="2"/>
      <c r="ZL11" s="2"/>
      <c r="ZM11" s="2"/>
      <c r="ZN11" s="2"/>
      <c r="ZO11" s="2"/>
      <c r="ZP11" s="2"/>
      <c r="ZQ11" s="2"/>
      <c r="ZR11" s="2"/>
      <c r="ZS11" s="2"/>
      <c r="ZT11" s="2"/>
      <c r="ZU11" s="2"/>
      <c r="ZV11" s="2"/>
      <c r="ZW11" s="2"/>
      <c r="ZX11" s="2"/>
      <c r="ZY11" s="2"/>
      <c r="ZZ11" s="2"/>
      <c r="AAA11" s="2"/>
      <c r="AAB11" s="2"/>
      <c r="AAC11" s="2"/>
      <c r="AAD11" s="2"/>
      <c r="AAE11" s="2"/>
      <c r="AAF11" s="2"/>
      <c r="AAG11" s="2"/>
      <c r="AAH11" s="2"/>
      <c r="AAI11" s="2"/>
      <c r="AAJ11" s="2"/>
      <c r="AAK11" s="2"/>
      <c r="AAL11" s="2"/>
      <c r="AAM11" s="2"/>
      <c r="AAN11" s="2"/>
      <c r="AAO11" s="2"/>
      <c r="AAP11" s="2"/>
      <c r="AAQ11" s="2"/>
      <c r="AAR11" s="2"/>
      <c r="AAS11" s="2"/>
      <c r="AAT11" s="2"/>
      <c r="AAU11" s="2"/>
      <c r="AAV11" s="2"/>
      <c r="AAW11" s="2"/>
      <c r="AAX11" s="2"/>
      <c r="AAY11" s="2"/>
      <c r="AAZ11" s="2"/>
      <c r="ABA11" s="2"/>
      <c r="ABB11" s="2"/>
      <c r="ABC11" s="2"/>
      <c r="ABD11" s="2"/>
      <c r="ABE11" s="2"/>
      <c r="ABF11" s="2"/>
      <c r="ABG11" s="2"/>
      <c r="ABH11" s="2"/>
      <c r="ABI11" s="2"/>
      <c r="ABJ11" s="2"/>
      <c r="ABK11" s="2"/>
      <c r="ABL11" s="2"/>
      <c r="ABM11" s="2"/>
      <c r="ABN11" s="2"/>
      <c r="ABO11" s="2"/>
      <c r="ABP11" s="2"/>
      <c r="ABQ11" s="2"/>
      <c r="ABR11" s="2"/>
      <c r="ABS11" s="2"/>
      <c r="ABT11" s="2"/>
      <c r="ABU11" s="2"/>
      <c r="ABV11" s="2"/>
      <c r="ABW11" s="2"/>
      <c r="ABX11" s="2"/>
      <c r="ABY11" s="2"/>
      <c r="ABZ11" s="2"/>
      <c r="ACA11" s="2"/>
      <c r="ACB11" s="2"/>
      <c r="ACC11" s="2"/>
      <c r="ACD11" s="2"/>
      <c r="ACE11" s="2"/>
      <c r="ACF11" s="2"/>
      <c r="ACG11" s="2"/>
      <c r="ACH11" s="2"/>
      <c r="ACI11" s="2"/>
      <c r="ACJ11" s="2"/>
      <c r="ACK11" s="2"/>
      <c r="ACL11" s="2"/>
      <c r="ACM11" s="2"/>
      <c r="ACN11" s="2"/>
      <c r="ACO11" s="2"/>
      <c r="ACP11" s="2"/>
      <c r="ACQ11" s="2"/>
      <c r="ACR11" s="2"/>
      <c r="ACS11" s="2"/>
      <c r="ACT11" s="2"/>
      <c r="ACU11" s="2"/>
      <c r="ACV11" s="2"/>
      <c r="ACW11" s="2"/>
      <c r="ACX11" s="2"/>
      <c r="ACY11" s="2"/>
      <c r="ACZ11" s="2"/>
      <c r="ADA11" s="2"/>
      <c r="ADB11" s="2"/>
      <c r="ADC11" s="2"/>
      <c r="ADD11" s="2"/>
      <c r="ADE11" s="2"/>
      <c r="ADF11" s="2"/>
      <c r="ADG11" s="2"/>
      <c r="ADH11" s="2"/>
      <c r="ADI11" s="2"/>
      <c r="ADJ11" s="2"/>
      <c r="ADK11" s="2"/>
      <c r="ADL11" s="2"/>
      <c r="ADM11" s="2"/>
      <c r="ADN11" s="2"/>
      <c r="ADO11" s="2"/>
      <c r="ADP11" s="2"/>
      <c r="ADQ11" s="2"/>
      <c r="ADR11" s="2"/>
      <c r="ADS11" s="2"/>
      <c r="ADT11" s="2"/>
      <c r="ADU11" s="2"/>
      <c r="ADV11" s="2"/>
      <c r="ADW11" s="2"/>
      <c r="ADX11" s="2"/>
      <c r="ADY11" s="2"/>
      <c r="ADZ11" s="2"/>
      <c r="AEA11" s="2"/>
      <c r="AEB11" s="2"/>
      <c r="AEC11" s="2"/>
      <c r="AED11" s="2"/>
      <c r="AEE11" s="2"/>
      <c r="AEF11" s="2"/>
      <c r="AEG11" s="2"/>
      <c r="AEH11" s="2"/>
      <c r="AEI11" s="2"/>
      <c r="AEJ11" s="2"/>
      <c r="AEK11" s="2"/>
      <c r="AEL11" s="2"/>
      <c r="AEM11" s="2"/>
      <c r="AEN11" s="2"/>
      <c r="AEO11" s="2"/>
      <c r="AEP11" s="2"/>
      <c r="AEQ11" s="2"/>
      <c r="AER11" s="2"/>
      <c r="AES11" s="2"/>
      <c r="AET11" s="2"/>
      <c r="AEU11" s="2"/>
      <c r="AEV11" s="2"/>
      <c r="AEW11" s="2"/>
      <c r="AEX11" s="2"/>
      <c r="AEY11" s="2"/>
      <c r="AEZ11" s="2"/>
      <c r="AFA11" s="2"/>
      <c r="AFB11" s="2"/>
      <c r="AFC11" s="2"/>
      <c r="AFD11" s="2"/>
      <c r="AFE11" s="2"/>
      <c r="AFF11" s="2"/>
      <c r="AFG11" s="2"/>
      <c r="AFH11" s="2"/>
      <c r="AFI11" s="2"/>
      <c r="AFJ11" s="2"/>
      <c r="AFK11" s="2"/>
      <c r="AFL11" s="2"/>
      <c r="AFM11" s="2"/>
      <c r="AFN11" s="2"/>
      <c r="AFO11" s="2"/>
      <c r="AFP11" s="2"/>
      <c r="AFQ11" s="2"/>
      <c r="AFR11" s="2"/>
      <c r="AFS11" s="2"/>
      <c r="AFT11" s="2"/>
      <c r="AFU11" s="2"/>
      <c r="AFV11" s="2"/>
      <c r="AFW11" s="2"/>
      <c r="AFX11" s="2"/>
      <c r="AFY11" s="2"/>
      <c r="AFZ11" s="2"/>
      <c r="AGA11" s="2"/>
      <c r="AGB11" s="2"/>
      <c r="AGC11" s="2"/>
      <c r="AGD11" s="2"/>
      <c r="AGE11" s="2"/>
      <c r="AGF11" s="2"/>
      <c r="AGG11" s="2"/>
      <c r="AGH11" s="2"/>
      <c r="AGI11" s="2"/>
      <c r="AGJ11" s="2"/>
      <c r="AGK11" s="2"/>
      <c r="AGL11" s="2"/>
      <c r="AGM11" s="2"/>
      <c r="AGN11" s="2"/>
      <c r="AGO11" s="2"/>
      <c r="AGP11" s="2"/>
      <c r="AGQ11" s="2"/>
      <c r="AGR11" s="2"/>
      <c r="AGS11" s="2"/>
      <c r="AGT11" s="2"/>
      <c r="AGU11" s="2"/>
      <c r="AGV11" s="2"/>
      <c r="AGW11" s="2"/>
      <c r="AGX11" s="2"/>
      <c r="AGY11" s="2"/>
      <c r="AGZ11" s="2"/>
      <c r="AHA11" s="2"/>
      <c r="AHB11" s="2"/>
      <c r="AHC11" s="2"/>
      <c r="AHD11" s="2"/>
      <c r="AHE11" s="2"/>
      <c r="AHF11" s="2"/>
      <c r="AHG11" s="2"/>
      <c r="AHH11" s="2"/>
      <c r="AHI11" s="2"/>
      <c r="AHJ11" s="2"/>
      <c r="AHK11" s="2"/>
      <c r="AHL11" s="2"/>
      <c r="AHM11" s="2"/>
      <c r="AHN11" s="2"/>
      <c r="AHO11" s="2"/>
      <c r="AHP11" s="2"/>
      <c r="AHQ11" s="2"/>
      <c r="AHR11" s="2"/>
      <c r="AHS11" s="2"/>
      <c r="AHT11" s="2"/>
      <c r="AHU11" s="2"/>
      <c r="AHV11" s="2"/>
      <c r="AHW11" s="2"/>
      <c r="AHX11" s="2"/>
      <c r="AHY11" s="2"/>
      <c r="AHZ11" s="2"/>
      <c r="AIA11" s="2"/>
      <c r="AIB11" s="2"/>
      <c r="AIC11" s="2"/>
      <c r="AID11" s="2"/>
      <c r="AIE11" s="2"/>
      <c r="AIF11" s="2"/>
      <c r="AIG11" s="2"/>
      <c r="AIH11" s="2"/>
      <c r="AII11" s="2"/>
      <c r="AIJ11" s="2"/>
      <c r="AIK11" s="2"/>
      <c r="AIL11" s="2"/>
      <c r="AIM11" s="2"/>
      <c r="AIN11" s="2"/>
      <c r="AIO11" s="2"/>
      <c r="AIP11" s="2"/>
      <c r="AIQ11" s="2"/>
      <c r="AIR11" s="2"/>
      <c r="AIS11" s="2"/>
      <c r="AIT11" s="2"/>
      <c r="AIU11" s="2"/>
      <c r="AIV11" s="2"/>
      <c r="AIW11" s="2"/>
      <c r="AIX11" s="2"/>
      <c r="AIY11" s="2"/>
      <c r="AIZ11" s="2"/>
      <c r="AJA11" s="2"/>
      <c r="AJB11" s="2"/>
      <c r="AJC11" s="2"/>
      <c r="AJD11" s="2"/>
      <c r="AJE11" s="2"/>
      <c r="AJF11" s="2"/>
      <c r="AJG11" s="2"/>
      <c r="AJH11" s="2"/>
      <c r="AJI11" s="2"/>
      <c r="AJJ11" s="2"/>
      <c r="AJK11" s="2"/>
      <c r="AJL11" s="2"/>
      <c r="AJM11" s="2"/>
      <c r="AJN11" s="2"/>
      <c r="AJO11" s="2"/>
      <c r="AJP11" s="2"/>
      <c r="AJQ11" s="2"/>
      <c r="AJR11" s="2"/>
      <c r="AJS11" s="2"/>
      <c r="AJT11" s="2"/>
      <c r="AJU11" s="2"/>
      <c r="AJV11" s="2"/>
      <c r="AJW11" s="2"/>
      <c r="AJX11" s="2"/>
      <c r="AJY11" s="2"/>
      <c r="AJZ11" s="2"/>
      <c r="AKA11" s="2"/>
      <c r="AKB11" s="2"/>
      <c r="AKC11" s="2"/>
      <c r="AKD11" s="2"/>
      <c r="AKE11" s="2"/>
      <c r="AKF11" s="2"/>
      <c r="AKG11" s="2"/>
      <c r="AKH11" s="2"/>
      <c r="AKI11" s="2"/>
      <c r="AKJ11" s="2"/>
      <c r="AKK11" s="2"/>
      <c r="AKL11" s="2"/>
      <c r="AKM11" s="2"/>
      <c r="AKN11" s="2"/>
      <c r="AKO11" s="2"/>
      <c r="AKP11" s="2"/>
      <c r="AKQ11" s="2"/>
      <c r="AKR11" s="2"/>
      <c r="AKS11" s="2"/>
      <c r="AKT11" s="2"/>
      <c r="AKU11" s="2"/>
      <c r="AKV11" s="2"/>
      <c r="AKW11" s="2"/>
      <c r="AKX11" s="2"/>
      <c r="AKY11" s="2"/>
      <c r="AKZ11" s="2"/>
      <c r="ALA11" s="2"/>
      <c r="ALB11" s="2"/>
      <c r="ALC11" s="2"/>
      <c r="ALD11" s="2"/>
      <c r="ALE11" s="2"/>
      <c r="ALF11" s="2"/>
      <c r="ALG11" s="2"/>
      <c r="ALH11" s="2"/>
      <c r="ALI11" s="2"/>
      <c r="ALJ11" s="2"/>
      <c r="ALK11" s="2"/>
      <c r="ALL11" s="2"/>
      <c r="ALM11" s="2"/>
      <c r="ALN11" s="2"/>
      <c r="ALO11" s="2"/>
      <c r="ALP11" s="2"/>
      <c r="ALQ11" s="2"/>
      <c r="ALR11" s="2"/>
      <c r="ALS11" s="2"/>
      <c r="ALT11" s="2"/>
      <c r="ALU11" s="2"/>
      <c r="ALV11" s="2"/>
      <c r="ALW11" s="2"/>
      <c r="ALX11" s="2"/>
    </row>
    <row r="12" customFormat="false" ht="15" hidden="false" customHeight="true" outlineLevel="0" collapsed="false">
      <c r="A12" s="2"/>
      <c r="B12" s="22" t="s">
        <v>89</v>
      </c>
      <c r="C12" s="64" t="n">
        <f aca="false">VLOOKUP($B12,Unidades!$D$5:$N$28,6,FALSE())</f>
        <v>623</v>
      </c>
      <c r="D12" s="64" t="n">
        <f aca="false">VLOOKUP($B12,Unidades!$D$5:$N$28,7,FALSE())</f>
        <v>547</v>
      </c>
      <c r="E12" s="64" t="n">
        <f aca="false">VLOOKUP($B12,Unidades!$D$5:$N$28,8,FALSE())</f>
        <v>76</v>
      </c>
      <c r="F12" s="64" t="n">
        <f aca="false">VLOOKUP($B12,Unidades!$D$5:$N$28,9,FALSE())</f>
        <v>0</v>
      </c>
      <c r="G12" s="64" t="n">
        <f aca="false">D12+E12*$E$6+F12*$F$6</f>
        <v>573.6</v>
      </c>
      <c r="H12" s="65" t="n">
        <f aca="false">IF(G12&lt;750,1.5,IF(G12&lt;2000,2,3))</f>
        <v>1.5</v>
      </c>
      <c r="I12" s="65" t="n">
        <f aca="false">$I$6*H12</f>
        <v>1.8</v>
      </c>
      <c r="J12" s="65" t="str">
        <f aca="false">VLOOKUP($B12,Unidades!$D$5:$N$28,10,FALSE())</f>
        <v>NÃO</v>
      </c>
      <c r="K12" s="65" t="str">
        <f aca="false">VLOOKUP($B12,Unidades!$D$5:$N$28,11,FALSE())</f>
        <v>SIM</v>
      </c>
      <c r="L12" s="65" t="n">
        <f aca="false">$L$6*H12+(IF(J12="SIM",$J$6,0))</f>
        <v>1.65</v>
      </c>
      <c r="M12" s="65" t="n">
        <f aca="false">$M$6*H12+(IF(J12="SIM",$J$6,0))+(IF(K12="SIM",$K$6,0))</f>
        <v>5.65</v>
      </c>
      <c r="N12" s="65" t="n">
        <f aca="false">H12*12+I12*4+L12*2+M12</f>
        <v>34.15</v>
      </c>
      <c r="O12" s="66" t="n">
        <f aca="false">IF(K12="não", N12*(C$24+D$24),N12*(C$24+D$24)+(M12*+E$24))</f>
        <v>2161.6335</v>
      </c>
      <c r="P12" s="67"/>
      <c r="Q12" s="22" t="str">
        <f aca="false">B12</f>
        <v>APS FRAIBURGO</v>
      </c>
      <c r="R12" s="24" t="n">
        <f aca="false">H12*($C$24+$D$24)</f>
        <v>84.75</v>
      </c>
      <c r="S12" s="24" t="n">
        <f aca="false">I12*($C$24+$D$24)</f>
        <v>101.7</v>
      </c>
      <c r="T12" s="24" t="n">
        <f aca="false">L12*($C$24+$D$24)</f>
        <v>93.225</v>
      </c>
      <c r="U12" s="24" t="n">
        <f aca="false">IF(K12="não",M12*($C$24+$D$24),M12*(C$24+D$24+E$24))</f>
        <v>551.3835</v>
      </c>
      <c r="V12" s="24" t="n">
        <f aca="false">VLOOKUP(Q12,'Desl. Base Chapecó'!$C$5:$S$18,13,FALSE())*($C$24+$D$24+$E$24*(VLOOKUP(Q12,'Desl. Base Chapecó'!$C$5:$S$18,17,FALSE())/12))</f>
        <v>246.188451388889</v>
      </c>
      <c r="W12" s="24" t="n">
        <f aca="false">VLOOKUP(Q12,'Desl. Base Chapecó'!$C$5:$S$19,15,FALSE())*(2+(VLOOKUP(Q12,'Desl. Base Chapecó'!$C$5:$S$19,17,FALSE())/12))</f>
        <v>138.270833333333</v>
      </c>
      <c r="X12" s="24" t="n">
        <f aca="false">VLOOKUP(Q12,'Desl. Base Chapecó'!$C$5:$Q$18,14,FALSE())</f>
        <v>0</v>
      </c>
      <c r="Y12" s="24" t="n">
        <f aca="false">VLOOKUP(Q12,'Desl. Base Chapecó'!$C$5:$Q$18,13,FALSE())*'Desl. Base Chapecó'!$E$23+'Desl. Base Chapecó'!$E$24*N12/12</f>
        <v>233.494041666667</v>
      </c>
      <c r="Z12" s="24" t="n">
        <f aca="false">(H12/$AC$5)*'Equipe Técnica'!$C$13</f>
        <v>276.428370567099</v>
      </c>
      <c r="AA12" s="24" t="n">
        <f aca="false">(I12/$AC$5)*'Equipe Técnica'!$C$13</f>
        <v>331.714044680519</v>
      </c>
      <c r="AB12" s="24" t="n">
        <f aca="false">(L12/$AC$5)*'Equipe Técnica'!$C$13</f>
        <v>304.071207623809</v>
      </c>
      <c r="AC12" s="24" t="n">
        <f aca="false">(M12/$AC$5)*'Equipe Técnica'!$C$13</f>
        <v>1041.21352913607</v>
      </c>
      <c r="AD12" s="24" t="n">
        <f aca="false">R12+(($V12+$W12+$X12+$Y12)*12/19)+$Z12</f>
        <v>751.464681970608</v>
      </c>
      <c r="AE12" s="24" t="n">
        <f aca="false">S12+(($V12+$W12+$X12+$Y12)*12/19)+$AA12</f>
        <v>823.700356084028</v>
      </c>
      <c r="AF12" s="24" t="n">
        <f aca="false">T12+(($V12+$W12+$X12+$Y12)*12/19)+$AB12</f>
        <v>787.582519027318</v>
      </c>
      <c r="AG12" s="24" t="n">
        <f aca="false">U12+(($V12+$W12+$X12+$Y12)*12/19)+$AC12</f>
        <v>1982.88334053958</v>
      </c>
      <c r="AH12" s="2"/>
      <c r="AI12" s="22" t="str">
        <f aca="false">B12</f>
        <v>APS FRAIBURGO</v>
      </c>
      <c r="AJ12" s="68" t="n">
        <f aca="false">VLOOKUP(AI12,Unidades!D$5:H$28,5,)</f>
        <v>0.2223</v>
      </c>
      <c r="AK12" s="48" t="n">
        <f aca="false">AD12*(1+$AJ12)</f>
        <v>918.515280772674</v>
      </c>
      <c r="AL12" s="48" t="n">
        <f aca="false">AE12*(1+$AJ12)</f>
        <v>1006.80894524151</v>
      </c>
      <c r="AM12" s="48" t="n">
        <f aca="false">AF12*(1+$AJ12)</f>
        <v>962.66211300709</v>
      </c>
      <c r="AN12" s="48" t="n">
        <f aca="false">AG12*(1+$AJ12)</f>
        <v>2423.67830714153</v>
      </c>
      <c r="AO12" s="48" t="n">
        <f aca="false">((AK12*12)+(AL12*4)+(AM12*2)+AN12)/12</f>
        <v>1616.53514028282</v>
      </c>
      <c r="AP12" s="48" t="n">
        <f aca="false">AO12*3</f>
        <v>4849.60542084846</v>
      </c>
      <c r="AQ12" s="48" t="n">
        <f aca="false">AO12+AP12</f>
        <v>6466.14056113127</v>
      </c>
      <c r="AR12" s="69"/>
      <c r="AS12" s="72" t="s">
        <v>73</v>
      </c>
      <c r="AT12" s="48" t="n">
        <f aca="false">AT10*3</f>
        <v>67205.0343903967</v>
      </c>
      <c r="AU12" s="48"/>
      <c r="AV12" s="69"/>
      <c r="AW12" s="69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  <c r="BV12" s="2"/>
      <c r="BW12" s="2"/>
      <c r="BX12" s="2"/>
      <c r="BY12" s="2"/>
      <c r="BZ12" s="2"/>
      <c r="CA12" s="2"/>
      <c r="CB12" s="2"/>
      <c r="CC12" s="2"/>
      <c r="CD12" s="2"/>
      <c r="CE12" s="2"/>
      <c r="CF12" s="2"/>
      <c r="CG12" s="2"/>
      <c r="CH12" s="2"/>
      <c r="CI12" s="2"/>
      <c r="CJ12" s="2"/>
      <c r="CK12" s="2"/>
      <c r="CL12" s="2"/>
      <c r="CM12" s="2"/>
      <c r="CN12" s="2"/>
      <c r="CO12" s="2"/>
      <c r="CP12" s="2"/>
      <c r="CQ12" s="2"/>
      <c r="CR12" s="2"/>
      <c r="CS12" s="2"/>
      <c r="CT12" s="2"/>
      <c r="CU12" s="2"/>
      <c r="CV12" s="2"/>
      <c r="CW12" s="2"/>
      <c r="CX12" s="2"/>
      <c r="CY12" s="2"/>
      <c r="CZ12" s="2"/>
      <c r="DA12" s="2"/>
      <c r="DB12" s="2"/>
      <c r="DC12" s="2"/>
      <c r="DD12" s="2"/>
      <c r="DE12" s="2"/>
      <c r="DF12" s="2"/>
      <c r="DG12" s="2"/>
      <c r="DH12" s="2"/>
      <c r="DI12" s="2"/>
      <c r="DJ12" s="2"/>
      <c r="DK12" s="2"/>
      <c r="DL12" s="2"/>
      <c r="DM12" s="2"/>
      <c r="DN12" s="2"/>
      <c r="DO12" s="2"/>
      <c r="DP12" s="2"/>
      <c r="DQ12" s="2"/>
      <c r="DR12" s="2"/>
      <c r="DS12" s="2"/>
      <c r="DT12" s="2"/>
      <c r="DU12" s="2"/>
      <c r="DV12" s="2"/>
      <c r="DW12" s="2"/>
      <c r="DX12" s="2"/>
      <c r="DY12" s="2"/>
      <c r="DZ12" s="2"/>
      <c r="EA12" s="2"/>
      <c r="EB12" s="2"/>
      <c r="EC12" s="2"/>
      <c r="ED12" s="2"/>
      <c r="EE12" s="2"/>
      <c r="EF12" s="2"/>
      <c r="EG12" s="2"/>
      <c r="EH12" s="2"/>
      <c r="EI12" s="2"/>
      <c r="EJ12" s="2"/>
      <c r="EK12" s="2"/>
      <c r="EL12" s="2"/>
      <c r="EM12" s="2"/>
      <c r="EN12" s="2"/>
      <c r="EO12" s="2"/>
      <c r="EP12" s="2"/>
      <c r="EQ12" s="2"/>
      <c r="ER12" s="2"/>
      <c r="ES12" s="2"/>
      <c r="ET12" s="2"/>
      <c r="EU12" s="2"/>
      <c r="EV12" s="2"/>
      <c r="EW12" s="2"/>
      <c r="EX12" s="2"/>
      <c r="EY12" s="2"/>
      <c r="EZ12" s="2"/>
      <c r="FA12" s="2"/>
      <c r="FB12" s="2"/>
      <c r="FC12" s="2"/>
      <c r="FD12" s="2"/>
      <c r="FE12" s="2"/>
      <c r="FF12" s="2"/>
      <c r="FG12" s="2"/>
      <c r="FH12" s="2"/>
      <c r="FI12" s="2"/>
      <c r="FJ12" s="2"/>
      <c r="FK12" s="2"/>
      <c r="FL12" s="2"/>
      <c r="FM12" s="2"/>
      <c r="FN12" s="2"/>
      <c r="FO12" s="2"/>
      <c r="FP12" s="2"/>
      <c r="FQ12" s="2"/>
      <c r="FR12" s="2"/>
      <c r="FS12" s="2"/>
      <c r="FT12" s="2"/>
      <c r="FU12" s="2"/>
      <c r="FV12" s="2"/>
      <c r="FW12" s="2"/>
      <c r="FX12" s="2"/>
      <c r="FY12" s="2"/>
      <c r="FZ12" s="2"/>
      <c r="GA12" s="2"/>
      <c r="GB12" s="2"/>
      <c r="GC12" s="2"/>
      <c r="GD12" s="2"/>
      <c r="GE12" s="2"/>
      <c r="GF12" s="2"/>
      <c r="GG12" s="2"/>
      <c r="GH12" s="2"/>
      <c r="GI12" s="2"/>
      <c r="GJ12" s="2"/>
      <c r="GK12" s="2"/>
      <c r="GL12" s="2"/>
      <c r="GM12" s="2"/>
      <c r="GN12" s="2"/>
      <c r="GO12" s="2"/>
      <c r="GP12" s="2"/>
      <c r="GQ12" s="2"/>
      <c r="GR12" s="2"/>
      <c r="GS12" s="2"/>
      <c r="GT12" s="2"/>
      <c r="GU12" s="2"/>
      <c r="GV12" s="2"/>
      <c r="GW12" s="2"/>
      <c r="GX12" s="2"/>
      <c r="GY12" s="2"/>
      <c r="GZ12" s="2"/>
      <c r="HA12" s="2"/>
      <c r="HB12" s="2"/>
      <c r="HC12" s="2"/>
      <c r="HD12" s="2"/>
      <c r="HE12" s="2"/>
      <c r="HF12" s="2"/>
      <c r="HG12" s="2"/>
      <c r="HH12" s="2"/>
      <c r="HI12" s="2"/>
      <c r="HJ12" s="2"/>
      <c r="HK12" s="2"/>
      <c r="HL12" s="2"/>
      <c r="HM12" s="2"/>
      <c r="HN12" s="2"/>
      <c r="HO12" s="2"/>
      <c r="HP12" s="2"/>
      <c r="HQ12" s="2"/>
      <c r="HR12" s="2"/>
      <c r="HS12" s="2"/>
      <c r="HT12" s="2"/>
      <c r="HU12" s="2"/>
      <c r="HV12" s="2"/>
      <c r="HW12" s="2"/>
      <c r="HX12" s="2"/>
      <c r="HY12" s="2"/>
      <c r="HZ12" s="2"/>
      <c r="IA12" s="2"/>
      <c r="IB12" s="2"/>
      <c r="IC12" s="2"/>
      <c r="ID12" s="2"/>
      <c r="IE12" s="2"/>
      <c r="IF12" s="2"/>
      <c r="IG12" s="2"/>
      <c r="IH12" s="2"/>
      <c r="II12" s="2"/>
      <c r="IJ12" s="2"/>
      <c r="IK12" s="2"/>
      <c r="IL12" s="2"/>
      <c r="IM12" s="2"/>
      <c r="IN12" s="2"/>
      <c r="IO12" s="2"/>
      <c r="IP12" s="2"/>
      <c r="IQ12" s="2"/>
      <c r="IR12" s="2"/>
      <c r="IS12" s="2"/>
      <c r="IT12" s="2"/>
      <c r="IU12" s="2"/>
      <c r="IV12" s="2"/>
      <c r="IW12" s="2"/>
      <c r="IX12" s="2"/>
      <c r="IY12" s="2"/>
      <c r="IZ12" s="2"/>
      <c r="JA12" s="2"/>
      <c r="JB12" s="2"/>
      <c r="JC12" s="2"/>
      <c r="JD12" s="2"/>
      <c r="JE12" s="2"/>
      <c r="JF12" s="2"/>
      <c r="JG12" s="2"/>
      <c r="JH12" s="2"/>
      <c r="JI12" s="2"/>
      <c r="JJ12" s="2"/>
      <c r="JK12" s="2"/>
      <c r="JL12" s="2"/>
      <c r="JM12" s="2"/>
      <c r="JN12" s="2"/>
      <c r="JO12" s="2"/>
      <c r="JP12" s="2"/>
      <c r="JQ12" s="2"/>
      <c r="JR12" s="2"/>
      <c r="JS12" s="2"/>
      <c r="JT12" s="2"/>
      <c r="JU12" s="2"/>
      <c r="JV12" s="2"/>
      <c r="JW12" s="2"/>
      <c r="JX12" s="2"/>
      <c r="JY12" s="2"/>
      <c r="JZ12" s="2"/>
      <c r="KA12" s="2"/>
      <c r="KB12" s="2"/>
      <c r="KC12" s="2"/>
      <c r="KD12" s="2"/>
      <c r="KE12" s="2"/>
      <c r="KF12" s="2"/>
      <c r="KG12" s="2"/>
      <c r="KH12" s="2"/>
      <c r="KI12" s="2"/>
      <c r="KJ12" s="2"/>
      <c r="KK12" s="2"/>
      <c r="KL12" s="2"/>
      <c r="KM12" s="2"/>
      <c r="KN12" s="2"/>
      <c r="KO12" s="2"/>
      <c r="KP12" s="2"/>
      <c r="KQ12" s="2"/>
      <c r="KR12" s="2"/>
      <c r="KS12" s="2"/>
      <c r="KT12" s="2"/>
      <c r="KU12" s="2"/>
      <c r="KV12" s="2"/>
      <c r="KW12" s="2"/>
      <c r="KX12" s="2"/>
      <c r="KY12" s="2"/>
      <c r="KZ12" s="2"/>
      <c r="LA12" s="2"/>
      <c r="LB12" s="2"/>
      <c r="LC12" s="2"/>
      <c r="LD12" s="2"/>
      <c r="LE12" s="2"/>
      <c r="LF12" s="2"/>
      <c r="LG12" s="2"/>
      <c r="LH12" s="2"/>
      <c r="LI12" s="2"/>
      <c r="LJ12" s="2"/>
      <c r="LK12" s="2"/>
      <c r="LL12" s="2"/>
      <c r="LM12" s="2"/>
      <c r="LN12" s="2"/>
      <c r="LO12" s="2"/>
      <c r="LP12" s="2"/>
      <c r="LQ12" s="2"/>
      <c r="LR12" s="2"/>
      <c r="LS12" s="2"/>
      <c r="LT12" s="2"/>
      <c r="LU12" s="2"/>
      <c r="LV12" s="2"/>
      <c r="LW12" s="2"/>
      <c r="LX12" s="2"/>
      <c r="LY12" s="2"/>
      <c r="LZ12" s="2"/>
      <c r="MA12" s="2"/>
      <c r="MB12" s="2"/>
      <c r="MC12" s="2"/>
      <c r="MD12" s="2"/>
      <c r="ME12" s="2"/>
      <c r="MF12" s="2"/>
      <c r="MG12" s="2"/>
      <c r="MH12" s="2"/>
      <c r="MI12" s="2"/>
      <c r="MJ12" s="2"/>
      <c r="MK12" s="2"/>
      <c r="ML12" s="2"/>
      <c r="MM12" s="2"/>
      <c r="MN12" s="2"/>
      <c r="MO12" s="2"/>
      <c r="MP12" s="2"/>
      <c r="MQ12" s="2"/>
      <c r="MR12" s="2"/>
      <c r="MS12" s="2"/>
      <c r="MT12" s="2"/>
      <c r="MU12" s="2"/>
      <c r="MV12" s="2"/>
      <c r="MW12" s="2"/>
      <c r="MX12" s="2"/>
      <c r="MY12" s="2"/>
      <c r="MZ12" s="2"/>
      <c r="NA12" s="2"/>
      <c r="NB12" s="2"/>
      <c r="NC12" s="2"/>
      <c r="ND12" s="2"/>
      <c r="NE12" s="2"/>
      <c r="NF12" s="2"/>
      <c r="NG12" s="2"/>
      <c r="NH12" s="2"/>
      <c r="NI12" s="2"/>
      <c r="NJ12" s="2"/>
      <c r="NK12" s="2"/>
      <c r="NL12" s="2"/>
      <c r="NM12" s="2"/>
      <c r="NN12" s="2"/>
      <c r="NO12" s="2"/>
      <c r="NP12" s="2"/>
      <c r="NQ12" s="2"/>
      <c r="NR12" s="2"/>
      <c r="NS12" s="2"/>
      <c r="NT12" s="2"/>
      <c r="NU12" s="2"/>
      <c r="NV12" s="2"/>
      <c r="NW12" s="2"/>
      <c r="NX12" s="2"/>
      <c r="NY12" s="2"/>
      <c r="NZ12" s="2"/>
      <c r="OA12" s="2"/>
      <c r="OB12" s="2"/>
      <c r="OC12" s="2"/>
      <c r="OD12" s="2"/>
      <c r="OE12" s="2"/>
      <c r="OF12" s="2"/>
      <c r="OG12" s="2"/>
      <c r="OH12" s="2"/>
      <c r="OI12" s="2"/>
      <c r="OJ12" s="2"/>
      <c r="OK12" s="2"/>
      <c r="OL12" s="2"/>
      <c r="OM12" s="2"/>
      <c r="ON12" s="2"/>
      <c r="OO12" s="2"/>
      <c r="OP12" s="2"/>
      <c r="OQ12" s="2"/>
      <c r="OR12" s="2"/>
      <c r="OS12" s="2"/>
      <c r="OT12" s="2"/>
      <c r="OU12" s="2"/>
      <c r="OV12" s="2"/>
      <c r="OW12" s="2"/>
      <c r="OX12" s="2"/>
      <c r="OY12" s="2"/>
      <c r="OZ12" s="2"/>
      <c r="PA12" s="2"/>
      <c r="PB12" s="2"/>
      <c r="PC12" s="2"/>
      <c r="PD12" s="2"/>
      <c r="PE12" s="2"/>
      <c r="PF12" s="2"/>
      <c r="PG12" s="2"/>
      <c r="PH12" s="2"/>
      <c r="PI12" s="2"/>
      <c r="PJ12" s="2"/>
      <c r="PK12" s="2"/>
      <c r="PL12" s="2"/>
      <c r="PM12" s="2"/>
      <c r="PN12" s="2"/>
      <c r="PO12" s="2"/>
      <c r="PP12" s="2"/>
      <c r="PQ12" s="2"/>
      <c r="PR12" s="2"/>
      <c r="PS12" s="2"/>
      <c r="PT12" s="2"/>
      <c r="PU12" s="2"/>
      <c r="PV12" s="2"/>
      <c r="PW12" s="2"/>
      <c r="PX12" s="2"/>
      <c r="PY12" s="2"/>
      <c r="PZ12" s="2"/>
      <c r="QA12" s="2"/>
      <c r="QB12" s="2"/>
      <c r="QC12" s="2"/>
      <c r="QD12" s="2"/>
      <c r="QE12" s="2"/>
      <c r="QF12" s="2"/>
      <c r="QG12" s="2"/>
      <c r="QH12" s="2"/>
      <c r="QI12" s="2"/>
      <c r="QJ12" s="2"/>
      <c r="QK12" s="2"/>
      <c r="QL12" s="2"/>
      <c r="QM12" s="2"/>
      <c r="QN12" s="2"/>
      <c r="QO12" s="2"/>
      <c r="QP12" s="2"/>
      <c r="QQ12" s="2"/>
      <c r="QR12" s="2"/>
      <c r="QS12" s="2"/>
      <c r="QT12" s="2"/>
      <c r="QU12" s="2"/>
      <c r="QV12" s="2"/>
      <c r="QW12" s="2"/>
      <c r="QX12" s="2"/>
      <c r="QY12" s="2"/>
      <c r="QZ12" s="2"/>
      <c r="RA12" s="2"/>
      <c r="RB12" s="2"/>
      <c r="RC12" s="2"/>
      <c r="RD12" s="2"/>
      <c r="RE12" s="2"/>
      <c r="RF12" s="2"/>
      <c r="RG12" s="2"/>
      <c r="RH12" s="2"/>
      <c r="RI12" s="2"/>
      <c r="RJ12" s="2"/>
      <c r="RK12" s="2"/>
      <c r="RL12" s="2"/>
      <c r="RM12" s="2"/>
      <c r="RN12" s="2"/>
      <c r="RO12" s="2"/>
      <c r="RP12" s="2"/>
      <c r="RQ12" s="2"/>
      <c r="RR12" s="2"/>
      <c r="RS12" s="2"/>
      <c r="RT12" s="2"/>
      <c r="RU12" s="2"/>
      <c r="RV12" s="2"/>
      <c r="RW12" s="2"/>
      <c r="RX12" s="2"/>
      <c r="RY12" s="2"/>
      <c r="RZ12" s="2"/>
      <c r="SA12" s="2"/>
      <c r="SB12" s="2"/>
      <c r="SC12" s="2"/>
      <c r="SD12" s="2"/>
      <c r="SE12" s="2"/>
      <c r="SF12" s="2"/>
      <c r="SG12" s="2"/>
      <c r="SH12" s="2"/>
      <c r="SI12" s="2"/>
      <c r="SJ12" s="2"/>
      <c r="SK12" s="2"/>
      <c r="SL12" s="2"/>
      <c r="SM12" s="2"/>
      <c r="SN12" s="2"/>
      <c r="SO12" s="2"/>
      <c r="SP12" s="2"/>
      <c r="SQ12" s="2"/>
      <c r="SR12" s="2"/>
      <c r="SS12" s="2"/>
      <c r="ST12" s="2"/>
      <c r="SU12" s="2"/>
      <c r="SV12" s="2"/>
      <c r="SW12" s="2"/>
      <c r="SX12" s="2"/>
      <c r="SY12" s="2"/>
      <c r="SZ12" s="2"/>
      <c r="TA12" s="2"/>
      <c r="TB12" s="2"/>
      <c r="TC12" s="2"/>
      <c r="TD12" s="2"/>
      <c r="TE12" s="2"/>
      <c r="TF12" s="2"/>
      <c r="TG12" s="2"/>
      <c r="TH12" s="2"/>
      <c r="TI12" s="2"/>
      <c r="TJ12" s="2"/>
      <c r="TK12" s="2"/>
      <c r="TL12" s="2"/>
      <c r="TM12" s="2"/>
      <c r="TN12" s="2"/>
      <c r="TO12" s="2"/>
      <c r="TP12" s="2"/>
      <c r="TQ12" s="2"/>
      <c r="TR12" s="2"/>
      <c r="TS12" s="2"/>
      <c r="TT12" s="2"/>
      <c r="TU12" s="2"/>
      <c r="TV12" s="2"/>
      <c r="TW12" s="2"/>
      <c r="TX12" s="2"/>
      <c r="TY12" s="2"/>
      <c r="TZ12" s="2"/>
      <c r="UA12" s="2"/>
      <c r="UB12" s="2"/>
      <c r="UC12" s="2"/>
      <c r="UD12" s="2"/>
      <c r="UE12" s="2"/>
      <c r="UF12" s="2"/>
      <c r="UG12" s="2"/>
      <c r="UH12" s="2"/>
      <c r="UI12" s="2"/>
      <c r="UJ12" s="2"/>
      <c r="UK12" s="2"/>
      <c r="UL12" s="2"/>
      <c r="UM12" s="2"/>
      <c r="UN12" s="2"/>
      <c r="UO12" s="2"/>
      <c r="UP12" s="2"/>
      <c r="UQ12" s="2"/>
      <c r="UR12" s="2"/>
      <c r="US12" s="2"/>
      <c r="UT12" s="2"/>
      <c r="UU12" s="2"/>
      <c r="UV12" s="2"/>
      <c r="UW12" s="2"/>
      <c r="UX12" s="2"/>
      <c r="UY12" s="2"/>
      <c r="UZ12" s="2"/>
      <c r="VA12" s="2"/>
      <c r="VB12" s="2"/>
      <c r="VC12" s="2"/>
      <c r="VD12" s="2"/>
      <c r="VE12" s="2"/>
      <c r="VF12" s="2"/>
      <c r="VG12" s="2"/>
      <c r="VH12" s="2"/>
      <c r="VI12" s="2"/>
      <c r="VJ12" s="2"/>
      <c r="VK12" s="2"/>
      <c r="VL12" s="2"/>
      <c r="VM12" s="2"/>
      <c r="VN12" s="2"/>
      <c r="VO12" s="2"/>
      <c r="VP12" s="2"/>
      <c r="VQ12" s="2"/>
      <c r="VR12" s="2"/>
      <c r="VS12" s="2"/>
      <c r="VT12" s="2"/>
      <c r="VU12" s="2"/>
      <c r="VV12" s="2"/>
      <c r="VW12" s="2"/>
      <c r="VX12" s="2"/>
      <c r="VY12" s="2"/>
      <c r="VZ12" s="2"/>
      <c r="WA12" s="2"/>
      <c r="WB12" s="2"/>
      <c r="WC12" s="2"/>
      <c r="WD12" s="2"/>
      <c r="WE12" s="2"/>
      <c r="WF12" s="2"/>
      <c r="WG12" s="2"/>
      <c r="WH12" s="2"/>
      <c r="WI12" s="2"/>
      <c r="WJ12" s="2"/>
      <c r="WK12" s="2"/>
      <c r="WL12" s="2"/>
      <c r="WM12" s="2"/>
      <c r="WN12" s="2"/>
      <c r="WO12" s="2"/>
      <c r="WP12" s="2"/>
      <c r="WQ12" s="2"/>
      <c r="WR12" s="2"/>
      <c r="WS12" s="2"/>
      <c r="WT12" s="2"/>
      <c r="WU12" s="2"/>
      <c r="WV12" s="2"/>
      <c r="WW12" s="2"/>
      <c r="WX12" s="2"/>
      <c r="WY12" s="2"/>
      <c r="WZ12" s="2"/>
      <c r="XA12" s="2"/>
      <c r="XB12" s="2"/>
      <c r="XC12" s="2"/>
      <c r="XD12" s="2"/>
      <c r="XE12" s="2"/>
      <c r="XF12" s="2"/>
      <c r="XG12" s="2"/>
      <c r="XH12" s="2"/>
      <c r="XI12" s="2"/>
      <c r="XJ12" s="2"/>
      <c r="XK12" s="2"/>
      <c r="XL12" s="2"/>
      <c r="XM12" s="2"/>
      <c r="XN12" s="2"/>
      <c r="XO12" s="2"/>
      <c r="XP12" s="2"/>
      <c r="XQ12" s="2"/>
      <c r="XR12" s="2"/>
      <c r="XS12" s="2"/>
      <c r="XT12" s="2"/>
      <c r="XU12" s="2"/>
      <c r="XV12" s="2"/>
      <c r="XW12" s="2"/>
      <c r="XX12" s="2"/>
      <c r="XY12" s="2"/>
      <c r="XZ12" s="2"/>
      <c r="YA12" s="2"/>
      <c r="YB12" s="2"/>
      <c r="YC12" s="2"/>
      <c r="YD12" s="2"/>
      <c r="YE12" s="2"/>
      <c r="YF12" s="2"/>
      <c r="YG12" s="2"/>
      <c r="YH12" s="2"/>
      <c r="YI12" s="2"/>
      <c r="YJ12" s="2"/>
      <c r="YK12" s="2"/>
      <c r="YL12" s="2"/>
      <c r="YM12" s="2"/>
      <c r="YN12" s="2"/>
      <c r="YO12" s="2"/>
      <c r="YP12" s="2"/>
      <c r="YQ12" s="2"/>
      <c r="YR12" s="2"/>
      <c r="YS12" s="2"/>
      <c r="YT12" s="2"/>
      <c r="YU12" s="2"/>
      <c r="YV12" s="2"/>
      <c r="YW12" s="2"/>
      <c r="YX12" s="2"/>
      <c r="YY12" s="2"/>
      <c r="YZ12" s="2"/>
      <c r="ZA12" s="2"/>
      <c r="ZB12" s="2"/>
      <c r="ZC12" s="2"/>
      <c r="ZD12" s="2"/>
      <c r="ZE12" s="2"/>
      <c r="ZF12" s="2"/>
      <c r="ZG12" s="2"/>
      <c r="ZH12" s="2"/>
      <c r="ZI12" s="2"/>
      <c r="ZJ12" s="2"/>
      <c r="ZK12" s="2"/>
      <c r="ZL12" s="2"/>
      <c r="ZM12" s="2"/>
      <c r="ZN12" s="2"/>
      <c r="ZO12" s="2"/>
      <c r="ZP12" s="2"/>
      <c r="ZQ12" s="2"/>
      <c r="ZR12" s="2"/>
      <c r="ZS12" s="2"/>
      <c r="ZT12" s="2"/>
      <c r="ZU12" s="2"/>
      <c r="ZV12" s="2"/>
      <c r="ZW12" s="2"/>
      <c r="ZX12" s="2"/>
      <c r="ZY12" s="2"/>
      <c r="ZZ12" s="2"/>
      <c r="AAA12" s="2"/>
      <c r="AAB12" s="2"/>
      <c r="AAC12" s="2"/>
      <c r="AAD12" s="2"/>
      <c r="AAE12" s="2"/>
      <c r="AAF12" s="2"/>
      <c r="AAG12" s="2"/>
      <c r="AAH12" s="2"/>
      <c r="AAI12" s="2"/>
      <c r="AAJ12" s="2"/>
      <c r="AAK12" s="2"/>
      <c r="AAL12" s="2"/>
      <c r="AAM12" s="2"/>
      <c r="AAN12" s="2"/>
      <c r="AAO12" s="2"/>
      <c r="AAP12" s="2"/>
      <c r="AAQ12" s="2"/>
      <c r="AAR12" s="2"/>
      <c r="AAS12" s="2"/>
      <c r="AAT12" s="2"/>
      <c r="AAU12" s="2"/>
      <c r="AAV12" s="2"/>
      <c r="AAW12" s="2"/>
      <c r="AAX12" s="2"/>
      <c r="AAY12" s="2"/>
      <c r="AAZ12" s="2"/>
      <c r="ABA12" s="2"/>
      <c r="ABB12" s="2"/>
      <c r="ABC12" s="2"/>
      <c r="ABD12" s="2"/>
      <c r="ABE12" s="2"/>
      <c r="ABF12" s="2"/>
      <c r="ABG12" s="2"/>
      <c r="ABH12" s="2"/>
      <c r="ABI12" s="2"/>
      <c r="ABJ12" s="2"/>
      <c r="ABK12" s="2"/>
      <c r="ABL12" s="2"/>
      <c r="ABM12" s="2"/>
      <c r="ABN12" s="2"/>
      <c r="ABO12" s="2"/>
      <c r="ABP12" s="2"/>
      <c r="ABQ12" s="2"/>
      <c r="ABR12" s="2"/>
      <c r="ABS12" s="2"/>
      <c r="ABT12" s="2"/>
      <c r="ABU12" s="2"/>
      <c r="ABV12" s="2"/>
      <c r="ABW12" s="2"/>
      <c r="ABX12" s="2"/>
      <c r="ABY12" s="2"/>
      <c r="ABZ12" s="2"/>
      <c r="ACA12" s="2"/>
      <c r="ACB12" s="2"/>
      <c r="ACC12" s="2"/>
      <c r="ACD12" s="2"/>
      <c r="ACE12" s="2"/>
      <c r="ACF12" s="2"/>
      <c r="ACG12" s="2"/>
      <c r="ACH12" s="2"/>
      <c r="ACI12" s="2"/>
      <c r="ACJ12" s="2"/>
      <c r="ACK12" s="2"/>
      <c r="ACL12" s="2"/>
      <c r="ACM12" s="2"/>
      <c r="ACN12" s="2"/>
      <c r="ACO12" s="2"/>
      <c r="ACP12" s="2"/>
      <c r="ACQ12" s="2"/>
      <c r="ACR12" s="2"/>
      <c r="ACS12" s="2"/>
      <c r="ACT12" s="2"/>
      <c r="ACU12" s="2"/>
      <c r="ACV12" s="2"/>
      <c r="ACW12" s="2"/>
      <c r="ACX12" s="2"/>
      <c r="ACY12" s="2"/>
      <c r="ACZ12" s="2"/>
      <c r="ADA12" s="2"/>
      <c r="ADB12" s="2"/>
      <c r="ADC12" s="2"/>
      <c r="ADD12" s="2"/>
      <c r="ADE12" s="2"/>
      <c r="ADF12" s="2"/>
      <c r="ADG12" s="2"/>
      <c r="ADH12" s="2"/>
      <c r="ADI12" s="2"/>
      <c r="ADJ12" s="2"/>
      <c r="ADK12" s="2"/>
      <c r="ADL12" s="2"/>
      <c r="ADM12" s="2"/>
      <c r="ADN12" s="2"/>
      <c r="ADO12" s="2"/>
      <c r="ADP12" s="2"/>
      <c r="ADQ12" s="2"/>
      <c r="ADR12" s="2"/>
      <c r="ADS12" s="2"/>
      <c r="ADT12" s="2"/>
      <c r="ADU12" s="2"/>
      <c r="ADV12" s="2"/>
      <c r="ADW12" s="2"/>
      <c r="ADX12" s="2"/>
      <c r="ADY12" s="2"/>
      <c r="ADZ12" s="2"/>
      <c r="AEA12" s="2"/>
      <c r="AEB12" s="2"/>
      <c r="AEC12" s="2"/>
      <c r="AED12" s="2"/>
      <c r="AEE12" s="2"/>
      <c r="AEF12" s="2"/>
      <c r="AEG12" s="2"/>
      <c r="AEH12" s="2"/>
      <c r="AEI12" s="2"/>
      <c r="AEJ12" s="2"/>
      <c r="AEK12" s="2"/>
      <c r="AEL12" s="2"/>
      <c r="AEM12" s="2"/>
      <c r="AEN12" s="2"/>
      <c r="AEO12" s="2"/>
      <c r="AEP12" s="2"/>
      <c r="AEQ12" s="2"/>
      <c r="AER12" s="2"/>
      <c r="AES12" s="2"/>
      <c r="AET12" s="2"/>
      <c r="AEU12" s="2"/>
      <c r="AEV12" s="2"/>
      <c r="AEW12" s="2"/>
      <c r="AEX12" s="2"/>
      <c r="AEY12" s="2"/>
      <c r="AEZ12" s="2"/>
      <c r="AFA12" s="2"/>
      <c r="AFB12" s="2"/>
      <c r="AFC12" s="2"/>
      <c r="AFD12" s="2"/>
      <c r="AFE12" s="2"/>
      <c r="AFF12" s="2"/>
      <c r="AFG12" s="2"/>
      <c r="AFH12" s="2"/>
      <c r="AFI12" s="2"/>
      <c r="AFJ12" s="2"/>
      <c r="AFK12" s="2"/>
      <c r="AFL12" s="2"/>
      <c r="AFM12" s="2"/>
      <c r="AFN12" s="2"/>
      <c r="AFO12" s="2"/>
      <c r="AFP12" s="2"/>
      <c r="AFQ12" s="2"/>
      <c r="AFR12" s="2"/>
      <c r="AFS12" s="2"/>
      <c r="AFT12" s="2"/>
      <c r="AFU12" s="2"/>
      <c r="AFV12" s="2"/>
      <c r="AFW12" s="2"/>
      <c r="AFX12" s="2"/>
      <c r="AFY12" s="2"/>
      <c r="AFZ12" s="2"/>
      <c r="AGA12" s="2"/>
      <c r="AGB12" s="2"/>
      <c r="AGC12" s="2"/>
      <c r="AGD12" s="2"/>
      <c r="AGE12" s="2"/>
      <c r="AGF12" s="2"/>
      <c r="AGG12" s="2"/>
      <c r="AGH12" s="2"/>
      <c r="AGI12" s="2"/>
      <c r="AGJ12" s="2"/>
      <c r="AGK12" s="2"/>
      <c r="AGL12" s="2"/>
      <c r="AGM12" s="2"/>
      <c r="AGN12" s="2"/>
      <c r="AGO12" s="2"/>
      <c r="AGP12" s="2"/>
      <c r="AGQ12" s="2"/>
      <c r="AGR12" s="2"/>
      <c r="AGS12" s="2"/>
      <c r="AGT12" s="2"/>
      <c r="AGU12" s="2"/>
      <c r="AGV12" s="2"/>
      <c r="AGW12" s="2"/>
      <c r="AGX12" s="2"/>
      <c r="AGY12" s="2"/>
      <c r="AGZ12" s="2"/>
      <c r="AHA12" s="2"/>
      <c r="AHB12" s="2"/>
      <c r="AHC12" s="2"/>
      <c r="AHD12" s="2"/>
      <c r="AHE12" s="2"/>
      <c r="AHF12" s="2"/>
      <c r="AHG12" s="2"/>
      <c r="AHH12" s="2"/>
      <c r="AHI12" s="2"/>
      <c r="AHJ12" s="2"/>
      <c r="AHK12" s="2"/>
      <c r="AHL12" s="2"/>
      <c r="AHM12" s="2"/>
      <c r="AHN12" s="2"/>
      <c r="AHO12" s="2"/>
      <c r="AHP12" s="2"/>
      <c r="AHQ12" s="2"/>
      <c r="AHR12" s="2"/>
      <c r="AHS12" s="2"/>
      <c r="AHT12" s="2"/>
      <c r="AHU12" s="2"/>
      <c r="AHV12" s="2"/>
      <c r="AHW12" s="2"/>
      <c r="AHX12" s="2"/>
      <c r="AHY12" s="2"/>
      <c r="AHZ12" s="2"/>
      <c r="AIA12" s="2"/>
      <c r="AIB12" s="2"/>
      <c r="AIC12" s="2"/>
      <c r="AID12" s="2"/>
      <c r="AIE12" s="2"/>
      <c r="AIF12" s="2"/>
      <c r="AIG12" s="2"/>
      <c r="AIH12" s="2"/>
      <c r="AII12" s="2"/>
      <c r="AIJ12" s="2"/>
      <c r="AIK12" s="2"/>
      <c r="AIL12" s="2"/>
      <c r="AIM12" s="2"/>
      <c r="AIN12" s="2"/>
      <c r="AIO12" s="2"/>
      <c r="AIP12" s="2"/>
      <c r="AIQ12" s="2"/>
      <c r="AIR12" s="2"/>
      <c r="AIS12" s="2"/>
      <c r="AIT12" s="2"/>
      <c r="AIU12" s="2"/>
      <c r="AIV12" s="2"/>
      <c r="AIW12" s="2"/>
      <c r="AIX12" s="2"/>
      <c r="AIY12" s="2"/>
      <c r="AIZ12" s="2"/>
      <c r="AJA12" s="2"/>
      <c r="AJB12" s="2"/>
      <c r="AJC12" s="2"/>
      <c r="AJD12" s="2"/>
      <c r="AJE12" s="2"/>
      <c r="AJF12" s="2"/>
      <c r="AJG12" s="2"/>
      <c r="AJH12" s="2"/>
      <c r="AJI12" s="2"/>
      <c r="AJJ12" s="2"/>
      <c r="AJK12" s="2"/>
      <c r="AJL12" s="2"/>
      <c r="AJM12" s="2"/>
      <c r="AJN12" s="2"/>
      <c r="AJO12" s="2"/>
      <c r="AJP12" s="2"/>
      <c r="AJQ12" s="2"/>
      <c r="AJR12" s="2"/>
      <c r="AJS12" s="2"/>
      <c r="AJT12" s="2"/>
      <c r="AJU12" s="2"/>
      <c r="AJV12" s="2"/>
      <c r="AJW12" s="2"/>
      <c r="AJX12" s="2"/>
      <c r="AJY12" s="2"/>
      <c r="AJZ12" s="2"/>
      <c r="AKA12" s="2"/>
      <c r="AKB12" s="2"/>
      <c r="AKC12" s="2"/>
      <c r="AKD12" s="2"/>
      <c r="AKE12" s="2"/>
      <c r="AKF12" s="2"/>
      <c r="AKG12" s="2"/>
      <c r="AKH12" s="2"/>
      <c r="AKI12" s="2"/>
      <c r="AKJ12" s="2"/>
      <c r="AKK12" s="2"/>
      <c r="AKL12" s="2"/>
      <c r="AKM12" s="2"/>
      <c r="AKN12" s="2"/>
      <c r="AKO12" s="2"/>
      <c r="AKP12" s="2"/>
      <c r="AKQ12" s="2"/>
      <c r="AKR12" s="2"/>
      <c r="AKS12" s="2"/>
      <c r="AKT12" s="2"/>
      <c r="AKU12" s="2"/>
      <c r="AKV12" s="2"/>
      <c r="AKW12" s="2"/>
      <c r="AKX12" s="2"/>
      <c r="AKY12" s="2"/>
      <c r="AKZ12" s="2"/>
      <c r="ALA12" s="2"/>
      <c r="ALB12" s="2"/>
      <c r="ALC12" s="2"/>
      <c r="ALD12" s="2"/>
      <c r="ALE12" s="2"/>
      <c r="ALF12" s="2"/>
      <c r="ALG12" s="2"/>
      <c r="ALH12" s="2"/>
      <c r="ALI12" s="2"/>
      <c r="ALJ12" s="2"/>
      <c r="ALK12" s="2"/>
      <c r="ALL12" s="2"/>
      <c r="ALM12" s="2"/>
      <c r="ALN12" s="2"/>
      <c r="ALO12" s="2"/>
      <c r="ALP12" s="2"/>
      <c r="ALQ12" s="2"/>
      <c r="ALR12" s="2"/>
      <c r="ALS12" s="2"/>
      <c r="ALT12" s="2"/>
      <c r="ALU12" s="2"/>
      <c r="ALV12" s="2"/>
      <c r="ALW12" s="2"/>
      <c r="ALX12" s="2"/>
    </row>
    <row r="13" customFormat="false" ht="15" hidden="false" customHeight="true" outlineLevel="0" collapsed="false">
      <c r="A13" s="2"/>
      <c r="B13" s="22" t="s">
        <v>90</v>
      </c>
      <c r="C13" s="64" t="n">
        <f aca="false">VLOOKUP($B13,Unidades!$D$5:$N$28,6,FALSE())</f>
        <v>1853</v>
      </c>
      <c r="D13" s="64" t="n">
        <f aca="false">VLOOKUP($B13,Unidades!$D$5:$N$28,7,FALSE())</f>
        <v>754</v>
      </c>
      <c r="E13" s="64" t="n">
        <f aca="false">VLOOKUP($B13,Unidades!$D$5:$N$28,8,FALSE())</f>
        <v>299</v>
      </c>
      <c r="F13" s="64" t="n">
        <f aca="false">VLOOKUP($B13,Unidades!$D$5:$N$28,9,FALSE())</f>
        <v>800</v>
      </c>
      <c r="G13" s="64" t="n">
        <f aca="false">D13+E13*$E$6+F13*$F$6</f>
        <v>938.65</v>
      </c>
      <c r="H13" s="65" t="n">
        <f aca="false">IF(G13&lt;750,1.5,IF(G13&lt;2000,2,3))</f>
        <v>2</v>
      </c>
      <c r="I13" s="65" t="n">
        <f aca="false">$I$6*H13</f>
        <v>2.4</v>
      </c>
      <c r="J13" s="65" t="str">
        <f aca="false">VLOOKUP($B13,Unidades!$D$5:$N$28,10,FALSE())</f>
        <v>SIM</v>
      </c>
      <c r="K13" s="65" t="str">
        <f aca="false">VLOOKUP($B13,Unidades!$D$5:$N$28,11,FALSE())</f>
        <v>SIM</v>
      </c>
      <c r="L13" s="65" t="n">
        <f aca="false">$L$6*H13+(IF(J13="SIM",$J$6,0))</f>
        <v>4.2</v>
      </c>
      <c r="M13" s="65" t="n">
        <f aca="false">$M$6*H13+(IF(J13="SIM",$J$6,0))+(IF(K13="SIM",$K$6,0))</f>
        <v>8.2</v>
      </c>
      <c r="N13" s="65" t="n">
        <f aca="false">H13*12+I13*4+L13*2+M13</f>
        <v>50.2</v>
      </c>
      <c r="O13" s="66" t="n">
        <f aca="false">IF(K13="não", N13*(C$24+D$24),N13*(C$24+D$24)+(M13*+E$24))</f>
        <v>3173.238</v>
      </c>
      <c r="P13" s="67"/>
      <c r="Q13" s="22" t="str">
        <f aca="false">B13</f>
        <v>APS JOAÇABA</v>
      </c>
      <c r="R13" s="24" t="n">
        <f aca="false">H13*($C$24+$D$24)</f>
        <v>113</v>
      </c>
      <c r="S13" s="24" t="n">
        <f aca="false">I13*($C$24+$D$24)</f>
        <v>135.6</v>
      </c>
      <c r="T13" s="24" t="n">
        <f aca="false">L13*($C$24+$D$24)</f>
        <v>237.3</v>
      </c>
      <c r="U13" s="24" t="n">
        <f aca="false">IF(K13="não",M13*($C$24+$D$24),M13*(C$24+D$24+E$24))</f>
        <v>800.238</v>
      </c>
      <c r="V13" s="24" t="n">
        <f aca="false">VLOOKUP(Q13,'Desl. Base Chapecó'!$C$5:$S$18,13,FALSE())*($C$24+$D$24+$E$24*(VLOOKUP(Q13,'Desl. Base Chapecó'!$C$5:$S$18,17,FALSE())/12))</f>
        <v>199.247854166667</v>
      </c>
      <c r="W13" s="24" t="n">
        <f aca="false">VLOOKUP(Q13,'Desl. Base Chapecó'!$C$5:$S$19,15,FALSE())*(2+(VLOOKUP(Q13,'Desl. Base Chapecó'!$C$5:$S$19,17,FALSE())/12))</f>
        <v>138.270833333333</v>
      </c>
      <c r="X13" s="24" t="n">
        <f aca="false">VLOOKUP(Q13,'Desl. Base Chapecó'!$C$5:$Q$18,14,FALSE())</f>
        <v>0</v>
      </c>
      <c r="Y13" s="24" t="n">
        <f aca="false">VLOOKUP(Q13,'Desl. Base Chapecó'!$C$5:$Q$18,13,FALSE())*'Desl. Base Chapecó'!$E$23+'Desl. Base Chapecó'!$E$24*N13/12</f>
        <v>202.040666666667</v>
      </c>
      <c r="Z13" s="24" t="n">
        <f aca="false">(H13/$AC$5)*'Equipe Técnica'!$C$13</f>
        <v>368.571160756132</v>
      </c>
      <c r="AA13" s="24" t="n">
        <f aca="false">(I13/$AC$5)*'Equipe Técnica'!$C$13</f>
        <v>442.285392907358</v>
      </c>
      <c r="AB13" s="24" t="n">
        <f aca="false">(L13/$AC$5)*'Equipe Técnica'!$C$13</f>
        <v>773.999437587877</v>
      </c>
      <c r="AC13" s="24" t="n">
        <f aca="false">(M13/$AC$5)*'Equipe Técnica'!$C$13</f>
        <v>1511.14175910014</v>
      </c>
      <c r="AD13" s="24" t="n">
        <f aca="false">R13+(($V13+$W13+$X13+$Y13)*12/19)+$Z13</f>
        <v>822.3454897035</v>
      </c>
      <c r="AE13" s="24" t="n">
        <f aca="false">S13+(($V13+$W13+$X13+$Y13)*12/19)+$AA13</f>
        <v>918.659721854727</v>
      </c>
      <c r="AF13" s="24" t="n">
        <f aca="false">T13+(($V13+$W13+$X13+$Y13)*12/19)+$AB13</f>
        <v>1352.07376653525</v>
      </c>
      <c r="AG13" s="24" t="n">
        <f aca="false">U13+(($V13+$W13+$X13+$Y13)*12/19)+$AC13</f>
        <v>2652.15408804751</v>
      </c>
      <c r="AH13" s="2"/>
      <c r="AI13" s="22" t="str">
        <f aca="false">B13</f>
        <v>APS JOAÇABA</v>
      </c>
      <c r="AJ13" s="68" t="n">
        <f aca="false">VLOOKUP(AI13,Unidades!D$5:H$28,5,)</f>
        <v>0.2354</v>
      </c>
      <c r="AK13" s="48" t="n">
        <f aca="false">AD13*(1+$AJ13)</f>
        <v>1015.9256179797</v>
      </c>
      <c r="AL13" s="48" t="n">
        <f aca="false">AE13*(1+$AJ13)</f>
        <v>1134.91222037933</v>
      </c>
      <c r="AM13" s="48" t="n">
        <f aca="false">AF13*(1+$AJ13)</f>
        <v>1670.35193117764</v>
      </c>
      <c r="AN13" s="48" t="n">
        <f aca="false">AG13*(1+$AJ13)</f>
        <v>3276.47116037389</v>
      </c>
      <c r="AO13" s="48" t="n">
        <f aca="false">((AK13*12)+(AL13*4)+(AM13*2)+AN13)/12</f>
        <v>1945.66094333358</v>
      </c>
      <c r="AP13" s="48" t="n">
        <f aca="false">AO13*3</f>
        <v>5836.98283000074</v>
      </c>
      <c r="AQ13" s="48" t="n">
        <f aca="false">AO13+AP13</f>
        <v>7782.64377333432</v>
      </c>
      <c r="AR13" s="69"/>
      <c r="AS13" s="72" t="s">
        <v>91</v>
      </c>
      <c r="AT13" s="48" t="n">
        <f aca="false">AT12*12</f>
        <v>806460.412684761</v>
      </c>
      <c r="AU13" s="48"/>
      <c r="AV13" s="71"/>
      <c r="AW13" s="71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  <c r="BW13" s="2"/>
      <c r="BX13" s="2"/>
      <c r="BY13" s="2"/>
      <c r="BZ13" s="2"/>
      <c r="CA13" s="2"/>
      <c r="CB13" s="2"/>
      <c r="CC13" s="2"/>
      <c r="CD13" s="2"/>
      <c r="CE13" s="2"/>
      <c r="CF13" s="2"/>
      <c r="CG13" s="2"/>
      <c r="CH13" s="2"/>
      <c r="CI13" s="2"/>
      <c r="CJ13" s="2"/>
      <c r="CK13" s="2"/>
      <c r="CL13" s="2"/>
      <c r="CM13" s="2"/>
      <c r="CN13" s="2"/>
      <c r="CO13" s="2"/>
      <c r="CP13" s="2"/>
      <c r="CQ13" s="2"/>
      <c r="CR13" s="2"/>
      <c r="CS13" s="2"/>
      <c r="CT13" s="2"/>
      <c r="CU13" s="2"/>
      <c r="CV13" s="2"/>
      <c r="CW13" s="2"/>
      <c r="CX13" s="2"/>
      <c r="CY13" s="2"/>
      <c r="CZ13" s="2"/>
      <c r="DA13" s="2"/>
      <c r="DB13" s="2"/>
      <c r="DC13" s="2"/>
      <c r="DD13" s="2"/>
      <c r="DE13" s="2"/>
      <c r="DF13" s="2"/>
      <c r="DG13" s="2"/>
      <c r="DH13" s="2"/>
      <c r="DI13" s="2"/>
      <c r="DJ13" s="2"/>
      <c r="DK13" s="2"/>
      <c r="DL13" s="2"/>
      <c r="DM13" s="2"/>
      <c r="DN13" s="2"/>
      <c r="DO13" s="2"/>
      <c r="DP13" s="2"/>
      <c r="DQ13" s="2"/>
      <c r="DR13" s="2"/>
      <c r="DS13" s="2"/>
      <c r="DT13" s="2"/>
      <c r="DU13" s="2"/>
      <c r="DV13" s="2"/>
      <c r="DW13" s="2"/>
      <c r="DX13" s="2"/>
      <c r="DY13" s="2"/>
      <c r="DZ13" s="2"/>
      <c r="EA13" s="2"/>
      <c r="EB13" s="2"/>
      <c r="EC13" s="2"/>
      <c r="ED13" s="2"/>
      <c r="EE13" s="2"/>
      <c r="EF13" s="2"/>
      <c r="EG13" s="2"/>
      <c r="EH13" s="2"/>
      <c r="EI13" s="2"/>
      <c r="EJ13" s="2"/>
      <c r="EK13" s="2"/>
      <c r="EL13" s="2"/>
      <c r="EM13" s="2"/>
      <c r="EN13" s="2"/>
      <c r="EO13" s="2"/>
      <c r="EP13" s="2"/>
      <c r="EQ13" s="2"/>
      <c r="ER13" s="2"/>
      <c r="ES13" s="2"/>
      <c r="ET13" s="2"/>
      <c r="EU13" s="2"/>
      <c r="EV13" s="2"/>
      <c r="EW13" s="2"/>
      <c r="EX13" s="2"/>
      <c r="EY13" s="2"/>
      <c r="EZ13" s="2"/>
      <c r="FA13" s="2"/>
      <c r="FB13" s="2"/>
      <c r="FC13" s="2"/>
      <c r="FD13" s="2"/>
      <c r="FE13" s="2"/>
      <c r="FF13" s="2"/>
      <c r="FG13" s="2"/>
      <c r="FH13" s="2"/>
      <c r="FI13" s="2"/>
      <c r="FJ13" s="2"/>
      <c r="FK13" s="2"/>
      <c r="FL13" s="2"/>
      <c r="FM13" s="2"/>
      <c r="FN13" s="2"/>
      <c r="FO13" s="2"/>
      <c r="FP13" s="2"/>
      <c r="FQ13" s="2"/>
      <c r="FR13" s="2"/>
      <c r="FS13" s="2"/>
      <c r="FT13" s="2"/>
      <c r="FU13" s="2"/>
      <c r="FV13" s="2"/>
      <c r="FW13" s="2"/>
      <c r="FX13" s="2"/>
      <c r="FY13" s="2"/>
      <c r="FZ13" s="2"/>
      <c r="GA13" s="2"/>
      <c r="GB13" s="2"/>
      <c r="GC13" s="2"/>
      <c r="GD13" s="2"/>
      <c r="GE13" s="2"/>
      <c r="GF13" s="2"/>
      <c r="GG13" s="2"/>
      <c r="GH13" s="2"/>
      <c r="GI13" s="2"/>
      <c r="GJ13" s="2"/>
      <c r="GK13" s="2"/>
      <c r="GL13" s="2"/>
      <c r="GM13" s="2"/>
      <c r="GN13" s="2"/>
      <c r="GO13" s="2"/>
      <c r="GP13" s="2"/>
      <c r="GQ13" s="2"/>
      <c r="GR13" s="2"/>
      <c r="GS13" s="2"/>
      <c r="GT13" s="2"/>
      <c r="GU13" s="2"/>
      <c r="GV13" s="2"/>
      <c r="GW13" s="2"/>
      <c r="GX13" s="2"/>
      <c r="GY13" s="2"/>
      <c r="GZ13" s="2"/>
      <c r="HA13" s="2"/>
      <c r="HB13" s="2"/>
      <c r="HC13" s="2"/>
      <c r="HD13" s="2"/>
      <c r="HE13" s="2"/>
      <c r="HF13" s="2"/>
      <c r="HG13" s="2"/>
      <c r="HH13" s="2"/>
      <c r="HI13" s="2"/>
      <c r="HJ13" s="2"/>
      <c r="HK13" s="2"/>
      <c r="HL13" s="2"/>
      <c r="HM13" s="2"/>
      <c r="HN13" s="2"/>
      <c r="HO13" s="2"/>
      <c r="HP13" s="2"/>
      <c r="HQ13" s="2"/>
      <c r="HR13" s="2"/>
      <c r="HS13" s="2"/>
      <c r="HT13" s="2"/>
      <c r="HU13" s="2"/>
      <c r="HV13" s="2"/>
      <c r="HW13" s="2"/>
      <c r="HX13" s="2"/>
      <c r="HY13" s="2"/>
      <c r="HZ13" s="2"/>
      <c r="IA13" s="2"/>
      <c r="IB13" s="2"/>
      <c r="IC13" s="2"/>
      <c r="ID13" s="2"/>
      <c r="IE13" s="2"/>
      <c r="IF13" s="2"/>
      <c r="IG13" s="2"/>
      <c r="IH13" s="2"/>
      <c r="II13" s="2"/>
      <c r="IJ13" s="2"/>
      <c r="IK13" s="2"/>
      <c r="IL13" s="2"/>
      <c r="IM13" s="2"/>
      <c r="IN13" s="2"/>
      <c r="IO13" s="2"/>
      <c r="IP13" s="2"/>
      <c r="IQ13" s="2"/>
      <c r="IR13" s="2"/>
      <c r="IS13" s="2"/>
      <c r="IT13" s="2"/>
      <c r="IU13" s="2"/>
      <c r="IV13" s="2"/>
      <c r="IW13" s="2"/>
      <c r="IX13" s="2"/>
      <c r="IY13" s="2"/>
      <c r="IZ13" s="2"/>
      <c r="JA13" s="2"/>
      <c r="JB13" s="2"/>
      <c r="JC13" s="2"/>
      <c r="JD13" s="2"/>
      <c r="JE13" s="2"/>
      <c r="JF13" s="2"/>
      <c r="JG13" s="2"/>
      <c r="JH13" s="2"/>
      <c r="JI13" s="2"/>
      <c r="JJ13" s="2"/>
      <c r="JK13" s="2"/>
      <c r="JL13" s="2"/>
      <c r="JM13" s="2"/>
      <c r="JN13" s="2"/>
      <c r="JO13" s="2"/>
      <c r="JP13" s="2"/>
      <c r="JQ13" s="2"/>
      <c r="JR13" s="2"/>
      <c r="JS13" s="2"/>
      <c r="JT13" s="2"/>
      <c r="JU13" s="2"/>
      <c r="JV13" s="2"/>
      <c r="JW13" s="2"/>
      <c r="JX13" s="2"/>
      <c r="JY13" s="2"/>
      <c r="JZ13" s="2"/>
      <c r="KA13" s="2"/>
      <c r="KB13" s="2"/>
      <c r="KC13" s="2"/>
      <c r="KD13" s="2"/>
      <c r="KE13" s="2"/>
      <c r="KF13" s="2"/>
      <c r="KG13" s="2"/>
      <c r="KH13" s="2"/>
      <c r="KI13" s="2"/>
      <c r="KJ13" s="2"/>
      <c r="KK13" s="2"/>
      <c r="KL13" s="2"/>
      <c r="KM13" s="2"/>
      <c r="KN13" s="2"/>
      <c r="KO13" s="2"/>
      <c r="KP13" s="2"/>
      <c r="KQ13" s="2"/>
      <c r="KR13" s="2"/>
      <c r="KS13" s="2"/>
      <c r="KT13" s="2"/>
      <c r="KU13" s="2"/>
      <c r="KV13" s="2"/>
      <c r="KW13" s="2"/>
      <c r="KX13" s="2"/>
      <c r="KY13" s="2"/>
      <c r="KZ13" s="2"/>
      <c r="LA13" s="2"/>
      <c r="LB13" s="2"/>
      <c r="LC13" s="2"/>
      <c r="LD13" s="2"/>
      <c r="LE13" s="2"/>
      <c r="LF13" s="2"/>
      <c r="LG13" s="2"/>
      <c r="LH13" s="2"/>
      <c r="LI13" s="2"/>
      <c r="LJ13" s="2"/>
      <c r="LK13" s="2"/>
      <c r="LL13" s="2"/>
      <c r="LM13" s="2"/>
      <c r="LN13" s="2"/>
      <c r="LO13" s="2"/>
      <c r="LP13" s="2"/>
      <c r="LQ13" s="2"/>
      <c r="LR13" s="2"/>
      <c r="LS13" s="2"/>
      <c r="LT13" s="2"/>
      <c r="LU13" s="2"/>
      <c r="LV13" s="2"/>
      <c r="LW13" s="2"/>
      <c r="LX13" s="2"/>
      <c r="LY13" s="2"/>
      <c r="LZ13" s="2"/>
      <c r="MA13" s="2"/>
      <c r="MB13" s="2"/>
      <c r="MC13" s="2"/>
      <c r="MD13" s="2"/>
      <c r="ME13" s="2"/>
      <c r="MF13" s="2"/>
      <c r="MG13" s="2"/>
      <c r="MH13" s="2"/>
      <c r="MI13" s="2"/>
      <c r="MJ13" s="2"/>
      <c r="MK13" s="2"/>
      <c r="ML13" s="2"/>
      <c r="MM13" s="2"/>
      <c r="MN13" s="2"/>
      <c r="MO13" s="2"/>
      <c r="MP13" s="2"/>
      <c r="MQ13" s="2"/>
      <c r="MR13" s="2"/>
      <c r="MS13" s="2"/>
      <c r="MT13" s="2"/>
      <c r="MU13" s="2"/>
      <c r="MV13" s="2"/>
      <c r="MW13" s="2"/>
      <c r="MX13" s="2"/>
      <c r="MY13" s="2"/>
      <c r="MZ13" s="2"/>
      <c r="NA13" s="2"/>
      <c r="NB13" s="2"/>
      <c r="NC13" s="2"/>
      <c r="ND13" s="2"/>
      <c r="NE13" s="2"/>
      <c r="NF13" s="2"/>
      <c r="NG13" s="2"/>
      <c r="NH13" s="2"/>
      <c r="NI13" s="2"/>
      <c r="NJ13" s="2"/>
      <c r="NK13" s="2"/>
      <c r="NL13" s="2"/>
      <c r="NM13" s="2"/>
      <c r="NN13" s="2"/>
      <c r="NO13" s="2"/>
      <c r="NP13" s="2"/>
      <c r="NQ13" s="2"/>
      <c r="NR13" s="2"/>
      <c r="NS13" s="2"/>
      <c r="NT13" s="2"/>
      <c r="NU13" s="2"/>
      <c r="NV13" s="2"/>
      <c r="NW13" s="2"/>
      <c r="NX13" s="2"/>
      <c r="NY13" s="2"/>
      <c r="NZ13" s="2"/>
      <c r="OA13" s="2"/>
      <c r="OB13" s="2"/>
      <c r="OC13" s="2"/>
      <c r="OD13" s="2"/>
      <c r="OE13" s="2"/>
      <c r="OF13" s="2"/>
      <c r="OG13" s="2"/>
      <c r="OH13" s="2"/>
      <c r="OI13" s="2"/>
      <c r="OJ13" s="2"/>
      <c r="OK13" s="2"/>
      <c r="OL13" s="2"/>
      <c r="OM13" s="2"/>
      <c r="ON13" s="2"/>
      <c r="OO13" s="2"/>
      <c r="OP13" s="2"/>
      <c r="OQ13" s="2"/>
      <c r="OR13" s="2"/>
      <c r="OS13" s="2"/>
      <c r="OT13" s="2"/>
      <c r="OU13" s="2"/>
      <c r="OV13" s="2"/>
      <c r="OW13" s="2"/>
      <c r="OX13" s="2"/>
      <c r="OY13" s="2"/>
      <c r="OZ13" s="2"/>
      <c r="PA13" s="2"/>
      <c r="PB13" s="2"/>
      <c r="PC13" s="2"/>
      <c r="PD13" s="2"/>
      <c r="PE13" s="2"/>
      <c r="PF13" s="2"/>
      <c r="PG13" s="2"/>
      <c r="PH13" s="2"/>
      <c r="PI13" s="2"/>
      <c r="PJ13" s="2"/>
      <c r="PK13" s="2"/>
      <c r="PL13" s="2"/>
      <c r="PM13" s="2"/>
      <c r="PN13" s="2"/>
      <c r="PO13" s="2"/>
      <c r="PP13" s="2"/>
      <c r="PQ13" s="2"/>
      <c r="PR13" s="2"/>
      <c r="PS13" s="2"/>
      <c r="PT13" s="2"/>
      <c r="PU13" s="2"/>
      <c r="PV13" s="2"/>
      <c r="PW13" s="2"/>
      <c r="PX13" s="2"/>
      <c r="PY13" s="2"/>
      <c r="PZ13" s="2"/>
      <c r="QA13" s="2"/>
      <c r="QB13" s="2"/>
      <c r="QC13" s="2"/>
      <c r="QD13" s="2"/>
      <c r="QE13" s="2"/>
      <c r="QF13" s="2"/>
      <c r="QG13" s="2"/>
      <c r="QH13" s="2"/>
      <c r="QI13" s="2"/>
      <c r="QJ13" s="2"/>
      <c r="QK13" s="2"/>
      <c r="QL13" s="2"/>
      <c r="QM13" s="2"/>
      <c r="QN13" s="2"/>
      <c r="QO13" s="2"/>
      <c r="QP13" s="2"/>
      <c r="QQ13" s="2"/>
      <c r="QR13" s="2"/>
      <c r="QS13" s="2"/>
      <c r="QT13" s="2"/>
      <c r="QU13" s="2"/>
      <c r="QV13" s="2"/>
      <c r="QW13" s="2"/>
      <c r="QX13" s="2"/>
      <c r="QY13" s="2"/>
      <c r="QZ13" s="2"/>
      <c r="RA13" s="2"/>
      <c r="RB13" s="2"/>
      <c r="RC13" s="2"/>
      <c r="RD13" s="2"/>
      <c r="RE13" s="2"/>
      <c r="RF13" s="2"/>
      <c r="RG13" s="2"/>
      <c r="RH13" s="2"/>
      <c r="RI13" s="2"/>
      <c r="RJ13" s="2"/>
      <c r="RK13" s="2"/>
      <c r="RL13" s="2"/>
      <c r="RM13" s="2"/>
      <c r="RN13" s="2"/>
      <c r="RO13" s="2"/>
      <c r="RP13" s="2"/>
      <c r="RQ13" s="2"/>
      <c r="RR13" s="2"/>
      <c r="RS13" s="2"/>
      <c r="RT13" s="2"/>
      <c r="RU13" s="2"/>
      <c r="RV13" s="2"/>
      <c r="RW13" s="2"/>
      <c r="RX13" s="2"/>
      <c r="RY13" s="2"/>
      <c r="RZ13" s="2"/>
      <c r="SA13" s="2"/>
      <c r="SB13" s="2"/>
      <c r="SC13" s="2"/>
      <c r="SD13" s="2"/>
      <c r="SE13" s="2"/>
      <c r="SF13" s="2"/>
      <c r="SG13" s="2"/>
      <c r="SH13" s="2"/>
      <c r="SI13" s="2"/>
      <c r="SJ13" s="2"/>
      <c r="SK13" s="2"/>
      <c r="SL13" s="2"/>
      <c r="SM13" s="2"/>
      <c r="SN13" s="2"/>
      <c r="SO13" s="2"/>
      <c r="SP13" s="2"/>
      <c r="SQ13" s="2"/>
      <c r="SR13" s="2"/>
      <c r="SS13" s="2"/>
      <c r="ST13" s="2"/>
      <c r="SU13" s="2"/>
      <c r="SV13" s="2"/>
      <c r="SW13" s="2"/>
      <c r="SX13" s="2"/>
      <c r="SY13" s="2"/>
      <c r="SZ13" s="2"/>
      <c r="TA13" s="2"/>
      <c r="TB13" s="2"/>
      <c r="TC13" s="2"/>
      <c r="TD13" s="2"/>
      <c r="TE13" s="2"/>
      <c r="TF13" s="2"/>
      <c r="TG13" s="2"/>
      <c r="TH13" s="2"/>
      <c r="TI13" s="2"/>
      <c r="TJ13" s="2"/>
      <c r="TK13" s="2"/>
      <c r="TL13" s="2"/>
      <c r="TM13" s="2"/>
      <c r="TN13" s="2"/>
      <c r="TO13" s="2"/>
      <c r="TP13" s="2"/>
      <c r="TQ13" s="2"/>
      <c r="TR13" s="2"/>
      <c r="TS13" s="2"/>
      <c r="TT13" s="2"/>
      <c r="TU13" s="2"/>
      <c r="TV13" s="2"/>
      <c r="TW13" s="2"/>
      <c r="TX13" s="2"/>
      <c r="TY13" s="2"/>
      <c r="TZ13" s="2"/>
      <c r="UA13" s="2"/>
      <c r="UB13" s="2"/>
      <c r="UC13" s="2"/>
      <c r="UD13" s="2"/>
      <c r="UE13" s="2"/>
      <c r="UF13" s="2"/>
      <c r="UG13" s="2"/>
      <c r="UH13" s="2"/>
      <c r="UI13" s="2"/>
      <c r="UJ13" s="2"/>
      <c r="UK13" s="2"/>
      <c r="UL13" s="2"/>
      <c r="UM13" s="2"/>
      <c r="UN13" s="2"/>
      <c r="UO13" s="2"/>
      <c r="UP13" s="2"/>
      <c r="UQ13" s="2"/>
      <c r="UR13" s="2"/>
      <c r="US13" s="2"/>
      <c r="UT13" s="2"/>
      <c r="UU13" s="2"/>
      <c r="UV13" s="2"/>
      <c r="UW13" s="2"/>
      <c r="UX13" s="2"/>
      <c r="UY13" s="2"/>
      <c r="UZ13" s="2"/>
      <c r="VA13" s="2"/>
      <c r="VB13" s="2"/>
      <c r="VC13" s="2"/>
      <c r="VD13" s="2"/>
      <c r="VE13" s="2"/>
      <c r="VF13" s="2"/>
      <c r="VG13" s="2"/>
      <c r="VH13" s="2"/>
      <c r="VI13" s="2"/>
      <c r="VJ13" s="2"/>
      <c r="VK13" s="2"/>
      <c r="VL13" s="2"/>
      <c r="VM13" s="2"/>
      <c r="VN13" s="2"/>
      <c r="VO13" s="2"/>
      <c r="VP13" s="2"/>
      <c r="VQ13" s="2"/>
      <c r="VR13" s="2"/>
      <c r="VS13" s="2"/>
      <c r="VT13" s="2"/>
      <c r="VU13" s="2"/>
      <c r="VV13" s="2"/>
      <c r="VW13" s="2"/>
      <c r="VX13" s="2"/>
      <c r="VY13" s="2"/>
      <c r="VZ13" s="2"/>
      <c r="WA13" s="2"/>
      <c r="WB13" s="2"/>
      <c r="WC13" s="2"/>
      <c r="WD13" s="2"/>
      <c r="WE13" s="2"/>
      <c r="WF13" s="2"/>
      <c r="WG13" s="2"/>
      <c r="WH13" s="2"/>
      <c r="WI13" s="2"/>
      <c r="WJ13" s="2"/>
      <c r="WK13" s="2"/>
      <c r="WL13" s="2"/>
      <c r="WM13" s="2"/>
      <c r="WN13" s="2"/>
      <c r="WO13" s="2"/>
      <c r="WP13" s="2"/>
      <c r="WQ13" s="2"/>
      <c r="WR13" s="2"/>
      <c r="WS13" s="2"/>
      <c r="WT13" s="2"/>
      <c r="WU13" s="2"/>
      <c r="WV13" s="2"/>
      <c r="WW13" s="2"/>
      <c r="WX13" s="2"/>
      <c r="WY13" s="2"/>
      <c r="WZ13" s="2"/>
      <c r="XA13" s="2"/>
      <c r="XB13" s="2"/>
      <c r="XC13" s="2"/>
      <c r="XD13" s="2"/>
      <c r="XE13" s="2"/>
      <c r="XF13" s="2"/>
      <c r="XG13" s="2"/>
      <c r="XH13" s="2"/>
      <c r="XI13" s="2"/>
      <c r="XJ13" s="2"/>
      <c r="XK13" s="2"/>
      <c r="XL13" s="2"/>
      <c r="XM13" s="2"/>
      <c r="XN13" s="2"/>
      <c r="XO13" s="2"/>
      <c r="XP13" s="2"/>
      <c r="XQ13" s="2"/>
      <c r="XR13" s="2"/>
      <c r="XS13" s="2"/>
      <c r="XT13" s="2"/>
      <c r="XU13" s="2"/>
      <c r="XV13" s="2"/>
      <c r="XW13" s="2"/>
      <c r="XX13" s="2"/>
      <c r="XY13" s="2"/>
      <c r="XZ13" s="2"/>
      <c r="YA13" s="2"/>
      <c r="YB13" s="2"/>
      <c r="YC13" s="2"/>
      <c r="YD13" s="2"/>
      <c r="YE13" s="2"/>
      <c r="YF13" s="2"/>
      <c r="YG13" s="2"/>
      <c r="YH13" s="2"/>
      <c r="YI13" s="2"/>
      <c r="YJ13" s="2"/>
      <c r="YK13" s="2"/>
      <c r="YL13" s="2"/>
      <c r="YM13" s="2"/>
      <c r="YN13" s="2"/>
      <c r="YO13" s="2"/>
      <c r="YP13" s="2"/>
      <c r="YQ13" s="2"/>
      <c r="YR13" s="2"/>
      <c r="YS13" s="2"/>
      <c r="YT13" s="2"/>
      <c r="YU13" s="2"/>
      <c r="YV13" s="2"/>
      <c r="YW13" s="2"/>
      <c r="YX13" s="2"/>
      <c r="YY13" s="2"/>
      <c r="YZ13" s="2"/>
      <c r="ZA13" s="2"/>
      <c r="ZB13" s="2"/>
      <c r="ZC13" s="2"/>
      <c r="ZD13" s="2"/>
      <c r="ZE13" s="2"/>
      <c r="ZF13" s="2"/>
      <c r="ZG13" s="2"/>
      <c r="ZH13" s="2"/>
      <c r="ZI13" s="2"/>
      <c r="ZJ13" s="2"/>
      <c r="ZK13" s="2"/>
      <c r="ZL13" s="2"/>
      <c r="ZM13" s="2"/>
      <c r="ZN13" s="2"/>
      <c r="ZO13" s="2"/>
      <c r="ZP13" s="2"/>
      <c r="ZQ13" s="2"/>
      <c r="ZR13" s="2"/>
      <c r="ZS13" s="2"/>
      <c r="ZT13" s="2"/>
      <c r="ZU13" s="2"/>
      <c r="ZV13" s="2"/>
      <c r="ZW13" s="2"/>
      <c r="ZX13" s="2"/>
      <c r="ZY13" s="2"/>
      <c r="ZZ13" s="2"/>
      <c r="AAA13" s="2"/>
      <c r="AAB13" s="2"/>
      <c r="AAC13" s="2"/>
      <c r="AAD13" s="2"/>
      <c r="AAE13" s="2"/>
      <c r="AAF13" s="2"/>
      <c r="AAG13" s="2"/>
      <c r="AAH13" s="2"/>
      <c r="AAI13" s="2"/>
      <c r="AAJ13" s="2"/>
      <c r="AAK13" s="2"/>
      <c r="AAL13" s="2"/>
      <c r="AAM13" s="2"/>
      <c r="AAN13" s="2"/>
      <c r="AAO13" s="2"/>
      <c r="AAP13" s="2"/>
      <c r="AAQ13" s="2"/>
      <c r="AAR13" s="2"/>
      <c r="AAS13" s="2"/>
      <c r="AAT13" s="2"/>
      <c r="AAU13" s="2"/>
      <c r="AAV13" s="2"/>
      <c r="AAW13" s="2"/>
      <c r="AAX13" s="2"/>
      <c r="AAY13" s="2"/>
      <c r="AAZ13" s="2"/>
      <c r="ABA13" s="2"/>
      <c r="ABB13" s="2"/>
      <c r="ABC13" s="2"/>
      <c r="ABD13" s="2"/>
      <c r="ABE13" s="2"/>
      <c r="ABF13" s="2"/>
      <c r="ABG13" s="2"/>
      <c r="ABH13" s="2"/>
      <c r="ABI13" s="2"/>
      <c r="ABJ13" s="2"/>
      <c r="ABK13" s="2"/>
      <c r="ABL13" s="2"/>
      <c r="ABM13" s="2"/>
      <c r="ABN13" s="2"/>
      <c r="ABO13" s="2"/>
      <c r="ABP13" s="2"/>
      <c r="ABQ13" s="2"/>
      <c r="ABR13" s="2"/>
      <c r="ABS13" s="2"/>
      <c r="ABT13" s="2"/>
      <c r="ABU13" s="2"/>
      <c r="ABV13" s="2"/>
      <c r="ABW13" s="2"/>
      <c r="ABX13" s="2"/>
      <c r="ABY13" s="2"/>
      <c r="ABZ13" s="2"/>
      <c r="ACA13" s="2"/>
      <c r="ACB13" s="2"/>
      <c r="ACC13" s="2"/>
      <c r="ACD13" s="2"/>
      <c r="ACE13" s="2"/>
      <c r="ACF13" s="2"/>
      <c r="ACG13" s="2"/>
      <c r="ACH13" s="2"/>
      <c r="ACI13" s="2"/>
      <c r="ACJ13" s="2"/>
      <c r="ACK13" s="2"/>
      <c r="ACL13" s="2"/>
      <c r="ACM13" s="2"/>
      <c r="ACN13" s="2"/>
      <c r="ACO13" s="2"/>
      <c r="ACP13" s="2"/>
      <c r="ACQ13" s="2"/>
      <c r="ACR13" s="2"/>
      <c r="ACS13" s="2"/>
      <c r="ACT13" s="2"/>
      <c r="ACU13" s="2"/>
      <c r="ACV13" s="2"/>
      <c r="ACW13" s="2"/>
      <c r="ACX13" s="2"/>
      <c r="ACY13" s="2"/>
      <c r="ACZ13" s="2"/>
      <c r="ADA13" s="2"/>
      <c r="ADB13" s="2"/>
      <c r="ADC13" s="2"/>
      <c r="ADD13" s="2"/>
      <c r="ADE13" s="2"/>
      <c r="ADF13" s="2"/>
      <c r="ADG13" s="2"/>
      <c r="ADH13" s="2"/>
      <c r="ADI13" s="2"/>
      <c r="ADJ13" s="2"/>
      <c r="ADK13" s="2"/>
      <c r="ADL13" s="2"/>
      <c r="ADM13" s="2"/>
      <c r="ADN13" s="2"/>
      <c r="ADO13" s="2"/>
      <c r="ADP13" s="2"/>
      <c r="ADQ13" s="2"/>
      <c r="ADR13" s="2"/>
      <c r="ADS13" s="2"/>
      <c r="ADT13" s="2"/>
      <c r="ADU13" s="2"/>
      <c r="ADV13" s="2"/>
      <c r="ADW13" s="2"/>
      <c r="ADX13" s="2"/>
      <c r="ADY13" s="2"/>
      <c r="ADZ13" s="2"/>
      <c r="AEA13" s="2"/>
      <c r="AEB13" s="2"/>
      <c r="AEC13" s="2"/>
      <c r="AED13" s="2"/>
      <c r="AEE13" s="2"/>
      <c r="AEF13" s="2"/>
      <c r="AEG13" s="2"/>
      <c r="AEH13" s="2"/>
      <c r="AEI13" s="2"/>
      <c r="AEJ13" s="2"/>
      <c r="AEK13" s="2"/>
      <c r="AEL13" s="2"/>
      <c r="AEM13" s="2"/>
      <c r="AEN13" s="2"/>
      <c r="AEO13" s="2"/>
      <c r="AEP13" s="2"/>
      <c r="AEQ13" s="2"/>
      <c r="AER13" s="2"/>
      <c r="AES13" s="2"/>
      <c r="AET13" s="2"/>
      <c r="AEU13" s="2"/>
      <c r="AEV13" s="2"/>
      <c r="AEW13" s="2"/>
      <c r="AEX13" s="2"/>
      <c r="AEY13" s="2"/>
      <c r="AEZ13" s="2"/>
      <c r="AFA13" s="2"/>
      <c r="AFB13" s="2"/>
      <c r="AFC13" s="2"/>
      <c r="AFD13" s="2"/>
      <c r="AFE13" s="2"/>
      <c r="AFF13" s="2"/>
      <c r="AFG13" s="2"/>
      <c r="AFH13" s="2"/>
      <c r="AFI13" s="2"/>
      <c r="AFJ13" s="2"/>
      <c r="AFK13" s="2"/>
      <c r="AFL13" s="2"/>
      <c r="AFM13" s="2"/>
      <c r="AFN13" s="2"/>
      <c r="AFO13" s="2"/>
      <c r="AFP13" s="2"/>
      <c r="AFQ13" s="2"/>
      <c r="AFR13" s="2"/>
      <c r="AFS13" s="2"/>
      <c r="AFT13" s="2"/>
      <c r="AFU13" s="2"/>
      <c r="AFV13" s="2"/>
      <c r="AFW13" s="2"/>
      <c r="AFX13" s="2"/>
      <c r="AFY13" s="2"/>
      <c r="AFZ13" s="2"/>
      <c r="AGA13" s="2"/>
      <c r="AGB13" s="2"/>
      <c r="AGC13" s="2"/>
      <c r="AGD13" s="2"/>
      <c r="AGE13" s="2"/>
      <c r="AGF13" s="2"/>
      <c r="AGG13" s="2"/>
      <c r="AGH13" s="2"/>
      <c r="AGI13" s="2"/>
      <c r="AGJ13" s="2"/>
      <c r="AGK13" s="2"/>
      <c r="AGL13" s="2"/>
      <c r="AGM13" s="2"/>
      <c r="AGN13" s="2"/>
      <c r="AGO13" s="2"/>
      <c r="AGP13" s="2"/>
      <c r="AGQ13" s="2"/>
      <c r="AGR13" s="2"/>
      <c r="AGS13" s="2"/>
      <c r="AGT13" s="2"/>
      <c r="AGU13" s="2"/>
      <c r="AGV13" s="2"/>
      <c r="AGW13" s="2"/>
      <c r="AGX13" s="2"/>
      <c r="AGY13" s="2"/>
      <c r="AGZ13" s="2"/>
      <c r="AHA13" s="2"/>
      <c r="AHB13" s="2"/>
      <c r="AHC13" s="2"/>
      <c r="AHD13" s="2"/>
      <c r="AHE13" s="2"/>
      <c r="AHF13" s="2"/>
      <c r="AHG13" s="2"/>
      <c r="AHH13" s="2"/>
      <c r="AHI13" s="2"/>
      <c r="AHJ13" s="2"/>
      <c r="AHK13" s="2"/>
      <c r="AHL13" s="2"/>
      <c r="AHM13" s="2"/>
      <c r="AHN13" s="2"/>
      <c r="AHO13" s="2"/>
      <c r="AHP13" s="2"/>
      <c r="AHQ13" s="2"/>
      <c r="AHR13" s="2"/>
      <c r="AHS13" s="2"/>
      <c r="AHT13" s="2"/>
      <c r="AHU13" s="2"/>
      <c r="AHV13" s="2"/>
      <c r="AHW13" s="2"/>
      <c r="AHX13" s="2"/>
      <c r="AHY13" s="2"/>
      <c r="AHZ13" s="2"/>
      <c r="AIA13" s="2"/>
      <c r="AIB13" s="2"/>
      <c r="AIC13" s="2"/>
      <c r="AID13" s="2"/>
      <c r="AIE13" s="2"/>
      <c r="AIF13" s="2"/>
      <c r="AIG13" s="2"/>
      <c r="AIH13" s="2"/>
      <c r="AII13" s="2"/>
      <c r="AIJ13" s="2"/>
      <c r="AIK13" s="2"/>
      <c r="AIL13" s="2"/>
      <c r="AIM13" s="2"/>
      <c r="AIN13" s="2"/>
      <c r="AIO13" s="2"/>
      <c r="AIP13" s="2"/>
      <c r="AIQ13" s="2"/>
      <c r="AIR13" s="2"/>
      <c r="AIS13" s="2"/>
      <c r="AIT13" s="2"/>
      <c r="AIU13" s="2"/>
      <c r="AIV13" s="2"/>
      <c r="AIW13" s="2"/>
      <c r="AIX13" s="2"/>
      <c r="AIY13" s="2"/>
      <c r="AIZ13" s="2"/>
      <c r="AJA13" s="2"/>
      <c r="AJB13" s="2"/>
      <c r="AJC13" s="2"/>
      <c r="AJD13" s="2"/>
      <c r="AJE13" s="2"/>
      <c r="AJF13" s="2"/>
      <c r="AJG13" s="2"/>
      <c r="AJH13" s="2"/>
      <c r="AJI13" s="2"/>
      <c r="AJJ13" s="2"/>
      <c r="AJK13" s="2"/>
      <c r="AJL13" s="2"/>
      <c r="AJM13" s="2"/>
      <c r="AJN13" s="2"/>
      <c r="AJO13" s="2"/>
      <c r="AJP13" s="2"/>
      <c r="AJQ13" s="2"/>
      <c r="AJR13" s="2"/>
      <c r="AJS13" s="2"/>
      <c r="AJT13" s="2"/>
      <c r="AJU13" s="2"/>
      <c r="AJV13" s="2"/>
      <c r="AJW13" s="2"/>
      <c r="AJX13" s="2"/>
      <c r="AJY13" s="2"/>
      <c r="AJZ13" s="2"/>
      <c r="AKA13" s="2"/>
      <c r="AKB13" s="2"/>
      <c r="AKC13" s="2"/>
      <c r="AKD13" s="2"/>
      <c r="AKE13" s="2"/>
      <c r="AKF13" s="2"/>
      <c r="AKG13" s="2"/>
      <c r="AKH13" s="2"/>
      <c r="AKI13" s="2"/>
      <c r="AKJ13" s="2"/>
      <c r="AKK13" s="2"/>
      <c r="AKL13" s="2"/>
      <c r="AKM13" s="2"/>
      <c r="AKN13" s="2"/>
      <c r="AKO13" s="2"/>
      <c r="AKP13" s="2"/>
      <c r="AKQ13" s="2"/>
      <c r="AKR13" s="2"/>
      <c r="AKS13" s="2"/>
      <c r="AKT13" s="2"/>
      <c r="AKU13" s="2"/>
      <c r="AKV13" s="2"/>
      <c r="AKW13" s="2"/>
      <c r="AKX13" s="2"/>
      <c r="AKY13" s="2"/>
      <c r="AKZ13" s="2"/>
      <c r="ALA13" s="2"/>
      <c r="ALB13" s="2"/>
      <c r="ALC13" s="2"/>
      <c r="ALD13" s="2"/>
      <c r="ALE13" s="2"/>
      <c r="ALF13" s="2"/>
      <c r="ALG13" s="2"/>
      <c r="ALH13" s="2"/>
      <c r="ALI13" s="2"/>
      <c r="ALJ13" s="2"/>
      <c r="ALK13" s="2"/>
      <c r="ALL13" s="2"/>
      <c r="ALM13" s="2"/>
      <c r="ALN13" s="2"/>
      <c r="ALO13" s="2"/>
      <c r="ALP13" s="2"/>
      <c r="ALQ13" s="2"/>
      <c r="ALR13" s="2"/>
      <c r="ALS13" s="2"/>
      <c r="ALT13" s="2"/>
      <c r="ALU13" s="2"/>
      <c r="ALV13" s="2"/>
      <c r="ALW13" s="2"/>
      <c r="ALX13" s="2"/>
    </row>
    <row r="14" customFormat="false" ht="15" hidden="false" customHeight="true" outlineLevel="0" collapsed="false">
      <c r="A14" s="2"/>
      <c r="B14" s="22" t="s">
        <v>92</v>
      </c>
      <c r="C14" s="64" t="n">
        <f aca="false">VLOOKUP($B14,Unidades!$D$5:$N$28,6,FALSE())</f>
        <v>919</v>
      </c>
      <c r="D14" s="64" t="n">
        <f aca="false">VLOOKUP($B14,Unidades!$D$5:$N$28,7,FALSE())</f>
        <v>447</v>
      </c>
      <c r="E14" s="64" t="n">
        <f aca="false">VLOOKUP($B14,Unidades!$D$5:$N$28,8,FALSE())</f>
        <v>74</v>
      </c>
      <c r="F14" s="64" t="n">
        <f aca="false">VLOOKUP($B14,Unidades!$D$5:$N$28,9,FALSE())</f>
        <v>398</v>
      </c>
      <c r="G14" s="64" t="n">
        <f aca="false">D14+E14*$E$6+F14*$F$6</f>
        <v>512.7</v>
      </c>
      <c r="H14" s="65" t="n">
        <f aca="false">IF(G14&lt;750,1.5,IF(G14&lt;2000,2,3))</f>
        <v>1.5</v>
      </c>
      <c r="I14" s="65" t="n">
        <f aca="false">$I$6*H14</f>
        <v>1.8</v>
      </c>
      <c r="J14" s="65" t="str">
        <f aca="false">VLOOKUP($B14,Unidades!$D$5:$N$28,10,FALSE())</f>
        <v>NÃO</v>
      </c>
      <c r="K14" s="65" t="str">
        <f aca="false">VLOOKUP($B14,Unidades!$D$5:$N$28,11,FALSE())</f>
        <v>SIM</v>
      </c>
      <c r="L14" s="65" t="n">
        <f aca="false">$L$6*H14+(IF(J14="SIM",$J$6,0))</f>
        <v>1.65</v>
      </c>
      <c r="M14" s="65" t="n">
        <f aca="false">$M$6*H14+(IF(J14="SIM",$J$6,0))+(IF(K14="SIM",$K$6,0))</f>
        <v>5.65</v>
      </c>
      <c r="N14" s="65" t="n">
        <f aca="false">H14*12+I14*4+L14*2+M14</f>
        <v>34.15</v>
      </c>
      <c r="O14" s="66" t="n">
        <f aca="false">IF(K14="não", N14*(C$24+D$24),N14*(C$24+D$24)+(M14*+E$24))</f>
        <v>2161.6335</v>
      </c>
      <c r="P14" s="67"/>
      <c r="Q14" s="22" t="str">
        <f aca="false">B14</f>
        <v>APS MARAVILHA</v>
      </c>
      <c r="R14" s="24" t="n">
        <f aca="false">H14*($C$24+$D$24)</f>
        <v>84.75</v>
      </c>
      <c r="S14" s="24" t="n">
        <f aca="false">I14*($C$24+$D$24)</f>
        <v>101.7</v>
      </c>
      <c r="T14" s="24" t="n">
        <f aca="false">L14*($C$24+$D$24)</f>
        <v>93.225</v>
      </c>
      <c r="U14" s="24" t="n">
        <f aca="false">IF(K14="não",M14*($C$24+$D$24),M14*(C$24+D$24+E$24))</f>
        <v>551.3835</v>
      </c>
      <c r="V14" s="24" t="n">
        <f aca="false">VLOOKUP(Q14,'Desl. Base Chapecó'!$C$5:$S$18,13,FALSE())*($C$24+$D$24+$E$24*(VLOOKUP(Q14,'Desl. Base Chapecó'!$C$5:$S$18,17,FALSE())/12))</f>
        <v>95.8786666666667</v>
      </c>
      <c r="W14" s="24" t="n">
        <f aca="false">VLOOKUP(Q14,'Desl. Base Chapecó'!$C$5:$S$19,15,FALSE())*(2+(VLOOKUP(Q14,'Desl. Base Chapecó'!$C$5:$S$19,17,FALSE())/12))</f>
        <v>0</v>
      </c>
      <c r="X14" s="24" t="n">
        <f aca="false">VLOOKUP(Q14,'Desl. Base Chapecó'!$C$5:$Q$18,14,FALSE())</f>
        <v>0</v>
      </c>
      <c r="Y14" s="24" t="n">
        <f aca="false">VLOOKUP(Q14,'Desl. Base Chapecó'!$C$5:$Q$18,13,FALSE())*'Desl. Base Chapecó'!$E$23+'Desl. Base Chapecó'!$E$24*N14/12</f>
        <v>103.010541666667</v>
      </c>
      <c r="Z14" s="24" t="n">
        <f aca="false">(H14/$AC$5)*'Equipe Técnica'!$C$13</f>
        <v>276.428370567099</v>
      </c>
      <c r="AA14" s="24" t="n">
        <f aca="false">(I14/$AC$5)*'Equipe Técnica'!$C$13</f>
        <v>331.714044680519</v>
      </c>
      <c r="AB14" s="24" t="n">
        <f aca="false">(L14/$AC$5)*'Equipe Técnica'!$C$13</f>
        <v>304.071207623809</v>
      </c>
      <c r="AC14" s="24" t="n">
        <f aca="false">(M14/$AC$5)*'Equipe Técnica'!$C$13</f>
        <v>1041.21352913607</v>
      </c>
      <c r="AD14" s="24" t="n">
        <f aca="false">R14+(($V14+$W14+$X14+$Y14)*12/19)+$Z14</f>
        <v>486.792607409204</v>
      </c>
      <c r="AE14" s="24" t="n">
        <f aca="false">S14+(($V14+$W14+$X14+$Y14)*12/19)+$AA14</f>
        <v>559.028281522624</v>
      </c>
      <c r="AF14" s="24" t="n">
        <f aca="false">T14+(($V14+$W14+$X14+$Y14)*12/19)+$AB14</f>
        <v>522.910444465914</v>
      </c>
      <c r="AG14" s="24" t="n">
        <f aca="false">U14+(($V14+$W14+$X14+$Y14)*12/19)+$AC14</f>
        <v>1718.21126597818</v>
      </c>
      <c r="AH14" s="2"/>
      <c r="AI14" s="22" t="str">
        <f aca="false">B14</f>
        <v>APS MARAVILHA</v>
      </c>
      <c r="AJ14" s="68" t="n">
        <f aca="false">VLOOKUP(AI14,Unidades!D$5:H$28,5,)</f>
        <v>0.2487</v>
      </c>
      <c r="AK14" s="48" t="n">
        <f aca="false">AD14*(1+$AJ14)</f>
        <v>607.857928871873</v>
      </c>
      <c r="AL14" s="48" t="n">
        <f aca="false">AE14*(1+$AJ14)</f>
        <v>698.058615137301</v>
      </c>
      <c r="AM14" s="48" t="n">
        <f aca="false">AF14*(1+$AJ14)</f>
        <v>652.958272004587</v>
      </c>
      <c r="AN14" s="48" t="n">
        <f aca="false">AG14*(1+$AJ14)</f>
        <v>2145.53040782695</v>
      </c>
      <c r="AO14" s="48" t="n">
        <f aca="false">((AK14*12)+(AL14*4)+(AM14*2)+AN14)/12</f>
        <v>1128.16471323732</v>
      </c>
      <c r="AP14" s="48" t="n">
        <f aca="false">AO14*3</f>
        <v>3384.49413971195</v>
      </c>
      <c r="AQ14" s="48" t="n">
        <f aca="false">AO14+AP14</f>
        <v>4512.65885294927</v>
      </c>
      <c r="AR14" s="69"/>
      <c r="AS14" s="72" t="s">
        <v>93</v>
      </c>
      <c r="AT14" s="48" t="n">
        <f aca="false">AT10+AT12</f>
        <v>89606.712520529</v>
      </c>
      <c r="AU14" s="48"/>
      <c r="AV14" s="71"/>
      <c r="AW14" s="71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2"/>
      <c r="BP14" s="2"/>
      <c r="BQ14" s="2"/>
      <c r="BR14" s="2"/>
      <c r="BS14" s="2"/>
      <c r="BT14" s="2"/>
      <c r="BU14" s="2"/>
      <c r="BV14" s="2"/>
      <c r="BW14" s="2"/>
      <c r="BX14" s="2"/>
      <c r="BY14" s="2"/>
      <c r="BZ14" s="2"/>
      <c r="CA14" s="2"/>
      <c r="CB14" s="2"/>
      <c r="CC14" s="2"/>
      <c r="CD14" s="2"/>
      <c r="CE14" s="2"/>
      <c r="CF14" s="2"/>
      <c r="CG14" s="2"/>
      <c r="CH14" s="2"/>
      <c r="CI14" s="2"/>
      <c r="CJ14" s="2"/>
      <c r="CK14" s="2"/>
      <c r="CL14" s="2"/>
      <c r="CM14" s="2"/>
      <c r="CN14" s="2"/>
      <c r="CO14" s="2"/>
      <c r="CP14" s="2"/>
      <c r="CQ14" s="2"/>
      <c r="CR14" s="2"/>
      <c r="CS14" s="2"/>
      <c r="CT14" s="2"/>
      <c r="CU14" s="2"/>
      <c r="CV14" s="2"/>
      <c r="CW14" s="2"/>
      <c r="CX14" s="2"/>
      <c r="CY14" s="2"/>
      <c r="CZ14" s="2"/>
      <c r="DA14" s="2"/>
      <c r="DB14" s="2"/>
      <c r="DC14" s="2"/>
      <c r="DD14" s="2"/>
      <c r="DE14" s="2"/>
      <c r="DF14" s="2"/>
      <c r="DG14" s="2"/>
      <c r="DH14" s="2"/>
      <c r="DI14" s="2"/>
      <c r="DJ14" s="2"/>
      <c r="DK14" s="2"/>
      <c r="DL14" s="2"/>
      <c r="DM14" s="2"/>
      <c r="DN14" s="2"/>
      <c r="DO14" s="2"/>
      <c r="DP14" s="2"/>
      <c r="DQ14" s="2"/>
      <c r="DR14" s="2"/>
      <c r="DS14" s="2"/>
      <c r="DT14" s="2"/>
      <c r="DU14" s="2"/>
      <c r="DV14" s="2"/>
      <c r="DW14" s="2"/>
      <c r="DX14" s="2"/>
      <c r="DY14" s="2"/>
      <c r="DZ14" s="2"/>
      <c r="EA14" s="2"/>
      <c r="EB14" s="2"/>
      <c r="EC14" s="2"/>
      <c r="ED14" s="2"/>
      <c r="EE14" s="2"/>
      <c r="EF14" s="2"/>
      <c r="EG14" s="2"/>
      <c r="EH14" s="2"/>
      <c r="EI14" s="2"/>
      <c r="EJ14" s="2"/>
      <c r="EK14" s="2"/>
      <c r="EL14" s="2"/>
      <c r="EM14" s="2"/>
      <c r="EN14" s="2"/>
      <c r="EO14" s="2"/>
      <c r="EP14" s="2"/>
      <c r="EQ14" s="2"/>
      <c r="ER14" s="2"/>
      <c r="ES14" s="2"/>
      <c r="ET14" s="2"/>
      <c r="EU14" s="2"/>
      <c r="EV14" s="2"/>
      <c r="EW14" s="2"/>
      <c r="EX14" s="2"/>
      <c r="EY14" s="2"/>
      <c r="EZ14" s="2"/>
      <c r="FA14" s="2"/>
      <c r="FB14" s="2"/>
      <c r="FC14" s="2"/>
      <c r="FD14" s="2"/>
      <c r="FE14" s="2"/>
      <c r="FF14" s="2"/>
      <c r="FG14" s="2"/>
      <c r="FH14" s="2"/>
      <c r="FI14" s="2"/>
      <c r="FJ14" s="2"/>
      <c r="FK14" s="2"/>
      <c r="FL14" s="2"/>
      <c r="FM14" s="2"/>
      <c r="FN14" s="2"/>
      <c r="FO14" s="2"/>
      <c r="FP14" s="2"/>
      <c r="FQ14" s="2"/>
      <c r="FR14" s="2"/>
      <c r="FS14" s="2"/>
      <c r="FT14" s="2"/>
      <c r="FU14" s="2"/>
      <c r="FV14" s="2"/>
      <c r="FW14" s="2"/>
      <c r="FX14" s="2"/>
      <c r="FY14" s="2"/>
      <c r="FZ14" s="2"/>
      <c r="GA14" s="2"/>
      <c r="GB14" s="2"/>
      <c r="GC14" s="2"/>
      <c r="GD14" s="2"/>
      <c r="GE14" s="2"/>
      <c r="GF14" s="2"/>
      <c r="GG14" s="2"/>
      <c r="GH14" s="2"/>
      <c r="GI14" s="2"/>
      <c r="GJ14" s="2"/>
      <c r="GK14" s="2"/>
      <c r="GL14" s="2"/>
      <c r="GM14" s="2"/>
      <c r="GN14" s="2"/>
      <c r="GO14" s="2"/>
      <c r="GP14" s="2"/>
      <c r="GQ14" s="2"/>
      <c r="GR14" s="2"/>
      <c r="GS14" s="2"/>
      <c r="GT14" s="2"/>
      <c r="GU14" s="2"/>
      <c r="GV14" s="2"/>
      <c r="GW14" s="2"/>
      <c r="GX14" s="2"/>
      <c r="GY14" s="2"/>
      <c r="GZ14" s="2"/>
      <c r="HA14" s="2"/>
      <c r="HB14" s="2"/>
      <c r="HC14" s="2"/>
      <c r="HD14" s="2"/>
      <c r="HE14" s="2"/>
      <c r="HF14" s="2"/>
      <c r="HG14" s="2"/>
      <c r="HH14" s="2"/>
      <c r="HI14" s="2"/>
      <c r="HJ14" s="2"/>
      <c r="HK14" s="2"/>
      <c r="HL14" s="2"/>
      <c r="HM14" s="2"/>
      <c r="HN14" s="2"/>
      <c r="HO14" s="2"/>
      <c r="HP14" s="2"/>
      <c r="HQ14" s="2"/>
      <c r="HR14" s="2"/>
      <c r="HS14" s="2"/>
      <c r="HT14" s="2"/>
      <c r="HU14" s="2"/>
      <c r="HV14" s="2"/>
      <c r="HW14" s="2"/>
      <c r="HX14" s="2"/>
      <c r="HY14" s="2"/>
      <c r="HZ14" s="2"/>
      <c r="IA14" s="2"/>
      <c r="IB14" s="2"/>
      <c r="IC14" s="2"/>
      <c r="ID14" s="2"/>
      <c r="IE14" s="2"/>
      <c r="IF14" s="2"/>
      <c r="IG14" s="2"/>
      <c r="IH14" s="2"/>
      <c r="II14" s="2"/>
      <c r="IJ14" s="2"/>
      <c r="IK14" s="2"/>
      <c r="IL14" s="2"/>
      <c r="IM14" s="2"/>
      <c r="IN14" s="2"/>
      <c r="IO14" s="2"/>
      <c r="IP14" s="2"/>
      <c r="IQ14" s="2"/>
      <c r="IR14" s="2"/>
      <c r="IS14" s="2"/>
      <c r="IT14" s="2"/>
      <c r="IU14" s="2"/>
      <c r="IV14" s="2"/>
      <c r="IW14" s="2"/>
      <c r="IX14" s="2"/>
      <c r="IY14" s="2"/>
      <c r="IZ14" s="2"/>
      <c r="JA14" s="2"/>
      <c r="JB14" s="2"/>
      <c r="JC14" s="2"/>
      <c r="JD14" s="2"/>
      <c r="JE14" s="2"/>
      <c r="JF14" s="2"/>
      <c r="JG14" s="2"/>
      <c r="JH14" s="2"/>
      <c r="JI14" s="2"/>
      <c r="JJ14" s="2"/>
      <c r="JK14" s="2"/>
      <c r="JL14" s="2"/>
      <c r="JM14" s="2"/>
      <c r="JN14" s="2"/>
      <c r="JO14" s="2"/>
      <c r="JP14" s="2"/>
      <c r="JQ14" s="2"/>
      <c r="JR14" s="2"/>
      <c r="JS14" s="2"/>
      <c r="JT14" s="2"/>
      <c r="JU14" s="2"/>
      <c r="JV14" s="2"/>
      <c r="JW14" s="2"/>
      <c r="JX14" s="2"/>
      <c r="JY14" s="2"/>
      <c r="JZ14" s="2"/>
      <c r="KA14" s="2"/>
      <c r="KB14" s="2"/>
      <c r="KC14" s="2"/>
      <c r="KD14" s="2"/>
      <c r="KE14" s="2"/>
      <c r="KF14" s="2"/>
      <c r="KG14" s="2"/>
      <c r="KH14" s="2"/>
      <c r="KI14" s="2"/>
      <c r="KJ14" s="2"/>
      <c r="KK14" s="2"/>
      <c r="KL14" s="2"/>
      <c r="KM14" s="2"/>
      <c r="KN14" s="2"/>
      <c r="KO14" s="2"/>
      <c r="KP14" s="2"/>
      <c r="KQ14" s="2"/>
      <c r="KR14" s="2"/>
      <c r="KS14" s="2"/>
      <c r="KT14" s="2"/>
      <c r="KU14" s="2"/>
      <c r="KV14" s="2"/>
      <c r="KW14" s="2"/>
      <c r="KX14" s="2"/>
      <c r="KY14" s="2"/>
      <c r="KZ14" s="2"/>
      <c r="LA14" s="2"/>
      <c r="LB14" s="2"/>
      <c r="LC14" s="2"/>
      <c r="LD14" s="2"/>
      <c r="LE14" s="2"/>
      <c r="LF14" s="2"/>
      <c r="LG14" s="2"/>
      <c r="LH14" s="2"/>
      <c r="LI14" s="2"/>
      <c r="LJ14" s="2"/>
      <c r="LK14" s="2"/>
      <c r="LL14" s="2"/>
      <c r="LM14" s="2"/>
      <c r="LN14" s="2"/>
      <c r="LO14" s="2"/>
      <c r="LP14" s="2"/>
      <c r="LQ14" s="2"/>
      <c r="LR14" s="2"/>
      <c r="LS14" s="2"/>
      <c r="LT14" s="2"/>
      <c r="LU14" s="2"/>
      <c r="LV14" s="2"/>
      <c r="LW14" s="2"/>
      <c r="LX14" s="2"/>
      <c r="LY14" s="2"/>
      <c r="LZ14" s="2"/>
      <c r="MA14" s="2"/>
      <c r="MB14" s="2"/>
      <c r="MC14" s="2"/>
      <c r="MD14" s="2"/>
      <c r="ME14" s="2"/>
      <c r="MF14" s="2"/>
      <c r="MG14" s="2"/>
      <c r="MH14" s="2"/>
      <c r="MI14" s="2"/>
      <c r="MJ14" s="2"/>
      <c r="MK14" s="2"/>
      <c r="ML14" s="2"/>
      <c r="MM14" s="2"/>
      <c r="MN14" s="2"/>
      <c r="MO14" s="2"/>
      <c r="MP14" s="2"/>
      <c r="MQ14" s="2"/>
      <c r="MR14" s="2"/>
      <c r="MS14" s="2"/>
      <c r="MT14" s="2"/>
      <c r="MU14" s="2"/>
      <c r="MV14" s="2"/>
      <c r="MW14" s="2"/>
      <c r="MX14" s="2"/>
      <c r="MY14" s="2"/>
      <c r="MZ14" s="2"/>
      <c r="NA14" s="2"/>
      <c r="NB14" s="2"/>
      <c r="NC14" s="2"/>
      <c r="ND14" s="2"/>
      <c r="NE14" s="2"/>
      <c r="NF14" s="2"/>
      <c r="NG14" s="2"/>
      <c r="NH14" s="2"/>
      <c r="NI14" s="2"/>
      <c r="NJ14" s="2"/>
      <c r="NK14" s="2"/>
      <c r="NL14" s="2"/>
      <c r="NM14" s="2"/>
      <c r="NN14" s="2"/>
      <c r="NO14" s="2"/>
      <c r="NP14" s="2"/>
      <c r="NQ14" s="2"/>
      <c r="NR14" s="2"/>
      <c r="NS14" s="2"/>
      <c r="NT14" s="2"/>
      <c r="NU14" s="2"/>
      <c r="NV14" s="2"/>
      <c r="NW14" s="2"/>
      <c r="NX14" s="2"/>
      <c r="NY14" s="2"/>
      <c r="NZ14" s="2"/>
      <c r="OA14" s="2"/>
      <c r="OB14" s="2"/>
      <c r="OC14" s="2"/>
      <c r="OD14" s="2"/>
      <c r="OE14" s="2"/>
      <c r="OF14" s="2"/>
      <c r="OG14" s="2"/>
      <c r="OH14" s="2"/>
      <c r="OI14" s="2"/>
      <c r="OJ14" s="2"/>
      <c r="OK14" s="2"/>
      <c r="OL14" s="2"/>
      <c r="OM14" s="2"/>
      <c r="ON14" s="2"/>
      <c r="OO14" s="2"/>
      <c r="OP14" s="2"/>
      <c r="OQ14" s="2"/>
      <c r="OR14" s="2"/>
      <c r="OS14" s="2"/>
      <c r="OT14" s="2"/>
      <c r="OU14" s="2"/>
      <c r="OV14" s="2"/>
      <c r="OW14" s="2"/>
      <c r="OX14" s="2"/>
      <c r="OY14" s="2"/>
      <c r="OZ14" s="2"/>
      <c r="PA14" s="2"/>
      <c r="PB14" s="2"/>
      <c r="PC14" s="2"/>
      <c r="PD14" s="2"/>
      <c r="PE14" s="2"/>
      <c r="PF14" s="2"/>
      <c r="PG14" s="2"/>
      <c r="PH14" s="2"/>
      <c r="PI14" s="2"/>
      <c r="PJ14" s="2"/>
      <c r="PK14" s="2"/>
      <c r="PL14" s="2"/>
      <c r="PM14" s="2"/>
      <c r="PN14" s="2"/>
      <c r="PO14" s="2"/>
      <c r="PP14" s="2"/>
      <c r="PQ14" s="2"/>
      <c r="PR14" s="2"/>
      <c r="PS14" s="2"/>
      <c r="PT14" s="2"/>
      <c r="PU14" s="2"/>
      <c r="PV14" s="2"/>
      <c r="PW14" s="2"/>
      <c r="PX14" s="2"/>
      <c r="PY14" s="2"/>
      <c r="PZ14" s="2"/>
      <c r="QA14" s="2"/>
      <c r="QB14" s="2"/>
      <c r="QC14" s="2"/>
      <c r="QD14" s="2"/>
      <c r="QE14" s="2"/>
      <c r="QF14" s="2"/>
      <c r="QG14" s="2"/>
      <c r="QH14" s="2"/>
      <c r="QI14" s="2"/>
      <c r="QJ14" s="2"/>
      <c r="QK14" s="2"/>
      <c r="QL14" s="2"/>
      <c r="QM14" s="2"/>
      <c r="QN14" s="2"/>
      <c r="QO14" s="2"/>
      <c r="QP14" s="2"/>
      <c r="QQ14" s="2"/>
      <c r="QR14" s="2"/>
      <c r="QS14" s="2"/>
      <c r="QT14" s="2"/>
      <c r="QU14" s="2"/>
      <c r="QV14" s="2"/>
      <c r="QW14" s="2"/>
      <c r="QX14" s="2"/>
      <c r="QY14" s="2"/>
      <c r="QZ14" s="2"/>
      <c r="RA14" s="2"/>
      <c r="RB14" s="2"/>
      <c r="RC14" s="2"/>
      <c r="RD14" s="2"/>
      <c r="RE14" s="2"/>
      <c r="RF14" s="2"/>
      <c r="RG14" s="2"/>
      <c r="RH14" s="2"/>
      <c r="RI14" s="2"/>
      <c r="RJ14" s="2"/>
      <c r="RK14" s="2"/>
      <c r="RL14" s="2"/>
      <c r="RM14" s="2"/>
      <c r="RN14" s="2"/>
      <c r="RO14" s="2"/>
      <c r="RP14" s="2"/>
      <c r="RQ14" s="2"/>
      <c r="RR14" s="2"/>
      <c r="RS14" s="2"/>
      <c r="RT14" s="2"/>
      <c r="RU14" s="2"/>
      <c r="RV14" s="2"/>
      <c r="RW14" s="2"/>
      <c r="RX14" s="2"/>
      <c r="RY14" s="2"/>
      <c r="RZ14" s="2"/>
      <c r="SA14" s="2"/>
      <c r="SB14" s="2"/>
      <c r="SC14" s="2"/>
      <c r="SD14" s="2"/>
      <c r="SE14" s="2"/>
      <c r="SF14" s="2"/>
      <c r="SG14" s="2"/>
      <c r="SH14" s="2"/>
      <c r="SI14" s="2"/>
      <c r="SJ14" s="2"/>
      <c r="SK14" s="2"/>
      <c r="SL14" s="2"/>
      <c r="SM14" s="2"/>
      <c r="SN14" s="2"/>
      <c r="SO14" s="2"/>
      <c r="SP14" s="2"/>
      <c r="SQ14" s="2"/>
      <c r="SR14" s="2"/>
      <c r="SS14" s="2"/>
      <c r="ST14" s="2"/>
      <c r="SU14" s="2"/>
      <c r="SV14" s="2"/>
      <c r="SW14" s="2"/>
      <c r="SX14" s="2"/>
      <c r="SY14" s="2"/>
      <c r="SZ14" s="2"/>
      <c r="TA14" s="2"/>
      <c r="TB14" s="2"/>
      <c r="TC14" s="2"/>
      <c r="TD14" s="2"/>
      <c r="TE14" s="2"/>
      <c r="TF14" s="2"/>
      <c r="TG14" s="2"/>
      <c r="TH14" s="2"/>
      <c r="TI14" s="2"/>
      <c r="TJ14" s="2"/>
      <c r="TK14" s="2"/>
      <c r="TL14" s="2"/>
      <c r="TM14" s="2"/>
      <c r="TN14" s="2"/>
      <c r="TO14" s="2"/>
      <c r="TP14" s="2"/>
      <c r="TQ14" s="2"/>
      <c r="TR14" s="2"/>
      <c r="TS14" s="2"/>
      <c r="TT14" s="2"/>
      <c r="TU14" s="2"/>
      <c r="TV14" s="2"/>
      <c r="TW14" s="2"/>
      <c r="TX14" s="2"/>
      <c r="TY14" s="2"/>
      <c r="TZ14" s="2"/>
      <c r="UA14" s="2"/>
      <c r="UB14" s="2"/>
      <c r="UC14" s="2"/>
      <c r="UD14" s="2"/>
      <c r="UE14" s="2"/>
      <c r="UF14" s="2"/>
      <c r="UG14" s="2"/>
      <c r="UH14" s="2"/>
      <c r="UI14" s="2"/>
      <c r="UJ14" s="2"/>
      <c r="UK14" s="2"/>
      <c r="UL14" s="2"/>
      <c r="UM14" s="2"/>
      <c r="UN14" s="2"/>
      <c r="UO14" s="2"/>
      <c r="UP14" s="2"/>
      <c r="UQ14" s="2"/>
      <c r="UR14" s="2"/>
      <c r="US14" s="2"/>
      <c r="UT14" s="2"/>
      <c r="UU14" s="2"/>
      <c r="UV14" s="2"/>
      <c r="UW14" s="2"/>
      <c r="UX14" s="2"/>
      <c r="UY14" s="2"/>
      <c r="UZ14" s="2"/>
      <c r="VA14" s="2"/>
      <c r="VB14" s="2"/>
      <c r="VC14" s="2"/>
      <c r="VD14" s="2"/>
      <c r="VE14" s="2"/>
      <c r="VF14" s="2"/>
      <c r="VG14" s="2"/>
      <c r="VH14" s="2"/>
      <c r="VI14" s="2"/>
      <c r="VJ14" s="2"/>
      <c r="VK14" s="2"/>
      <c r="VL14" s="2"/>
      <c r="VM14" s="2"/>
      <c r="VN14" s="2"/>
      <c r="VO14" s="2"/>
      <c r="VP14" s="2"/>
      <c r="VQ14" s="2"/>
      <c r="VR14" s="2"/>
      <c r="VS14" s="2"/>
      <c r="VT14" s="2"/>
      <c r="VU14" s="2"/>
      <c r="VV14" s="2"/>
      <c r="VW14" s="2"/>
      <c r="VX14" s="2"/>
      <c r="VY14" s="2"/>
      <c r="VZ14" s="2"/>
      <c r="WA14" s="2"/>
      <c r="WB14" s="2"/>
      <c r="WC14" s="2"/>
      <c r="WD14" s="2"/>
      <c r="WE14" s="2"/>
      <c r="WF14" s="2"/>
      <c r="WG14" s="2"/>
      <c r="WH14" s="2"/>
      <c r="WI14" s="2"/>
      <c r="WJ14" s="2"/>
      <c r="WK14" s="2"/>
      <c r="WL14" s="2"/>
      <c r="WM14" s="2"/>
      <c r="WN14" s="2"/>
      <c r="WO14" s="2"/>
      <c r="WP14" s="2"/>
      <c r="WQ14" s="2"/>
      <c r="WR14" s="2"/>
      <c r="WS14" s="2"/>
      <c r="WT14" s="2"/>
      <c r="WU14" s="2"/>
      <c r="WV14" s="2"/>
      <c r="WW14" s="2"/>
      <c r="WX14" s="2"/>
      <c r="WY14" s="2"/>
      <c r="WZ14" s="2"/>
      <c r="XA14" s="2"/>
      <c r="XB14" s="2"/>
      <c r="XC14" s="2"/>
      <c r="XD14" s="2"/>
      <c r="XE14" s="2"/>
      <c r="XF14" s="2"/>
      <c r="XG14" s="2"/>
      <c r="XH14" s="2"/>
      <c r="XI14" s="2"/>
      <c r="XJ14" s="2"/>
      <c r="XK14" s="2"/>
      <c r="XL14" s="2"/>
      <c r="XM14" s="2"/>
      <c r="XN14" s="2"/>
      <c r="XO14" s="2"/>
      <c r="XP14" s="2"/>
      <c r="XQ14" s="2"/>
      <c r="XR14" s="2"/>
      <c r="XS14" s="2"/>
      <c r="XT14" s="2"/>
      <c r="XU14" s="2"/>
      <c r="XV14" s="2"/>
      <c r="XW14" s="2"/>
      <c r="XX14" s="2"/>
      <c r="XY14" s="2"/>
      <c r="XZ14" s="2"/>
      <c r="YA14" s="2"/>
      <c r="YB14" s="2"/>
      <c r="YC14" s="2"/>
      <c r="YD14" s="2"/>
      <c r="YE14" s="2"/>
      <c r="YF14" s="2"/>
      <c r="YG14" s="2"/>
      <c r="YH14" s="2"/>
      <c r="YI14" s="2"/>
      <c r="YJ14" s="2"/>
      <c r="YK14" s="2"/>
      <c r="YL14" s="2"/>
      <c r="YM14" s="2"/>
      <c r="YN14" s="2"/>
      <c r="YO14" s="2"/>
      <c r="YP14" s="2"/>
      <c r="YQ14" s="2"/>
      <c r="YR14" s="2"/>
      <c r="YS14" s="2"/>
      <c r="YT14" s="2"/>
      <c r="YU14" s="2"/>
      <c r="YV14" s="2"/>
      <c r="YW14" s="2"/>
      <c r="YX14" s="2"/>
      <c r="YY14" s="2"/>
      <c r="YZ14" s="2"/>
      <c r="ZA14" s="2"/>
      <c r="ZB14" s="2"/>
      <c r="ZC14" s="2"/>
      <c r="ZD14" s="2"/>
      <c r="ZE14" s="2"/>
      <c r="ZF14" s="2"/>
      <c r="ZG14" s="2"/>
      <c r="ZH14" s="2"/>
      <c r="ZI14" s="2"/>
      <c r="ZJ14" s="2"/>
      <c r="ZK14" s="2"/>
      <c r="ZL14" s="2"/>
      <c r="ZM14" s="2"/>
      <c r="ZN14" s="2"/>
      <c r="ZO14" s="2"/>
      <c r="ZP14" s="2"/>
      <c r="ZQ14" s="2"/>
      <c r="ZR14" s="2"/>
      <c r="ZS14" s="2"/>
      <c r="ZT14" s="2"/>
      <c r="ZU14" s="2"/>
      <c r="ZV14" s="2"/>
      <c r="ZW14" s="2"/>
      <c r="ZX14" s="2"/>
      <c r="ZY14" s="2"/>
      <c r="ZZ14" s="2"/>
      <c r="AAA14" s="2"/>
      <c r="AAB14" s="2"/>
      <c r="AAC14" s="2"/>
      <c r="AAD14" s="2"/>
      <c r="AAE14" s="2"/>
      <c r="AAF14" s="2"/>
      <c r="AAG14" s="2"/>
      <c r="AAH14" s="2"/>
      <c r="AAI14" s="2"/>
      <c r="AAJ14" s="2"/>
      <c r="AAK14" s="2"/>
      <c r="AAL14" s="2"/>
      <c r="AAM14" s="2"/>
      <c r="AAN14" s="2"/>
      <c r="AAO14" s="2"/>
      <c r="AAP14" s="2"/>
      <c r="AAQ14" s="2"/>
      <c r="AAR14" s="2"/>
      <c r="AAS14" s="2"/>
      <c r="AAT14" s="2"/>
      <c r="AAU14" s="2"/>
      <c r="AAV14" s="2"/>
      <c r="AAW14" s="2"/>
      <c r="AAX14" s="2"/>
      <c r="AAY14" s="2"/>
      <c r="AAZ14" s="2"/>
      <c r="ABA14" s="2"/>
      <c r="ABB14" s="2"/>
      <c r="ABC14" s="2"/>
      <c r="ABD14" s="2"/>
      <c r="ABE14" s="2"/>
      <c r="ABF14" s="2"/>
      <c r="ABG14" s="2"/>
      <c r="ABH14" s="2"/>
      <c r="ABI14" s="2"/>
      <c r="ABJ14" s="2"/>
      <c r="ABK14" s="2"/>
      <c r="ABL14" s="2"/>
      <c r="ABM14" s="2"/>
      <c r="ABN14" s="2"/>
      <c r="ABO14" s="2"/>
      <c r="ABP14" s="2"/>
      <c r="ABQ14" s="2"/>
      <c r="ABR14" s="2"/>
      <c r="ABS14" s="2"/>
      <c r="ABT14" s="2"/>
      <c r="ABU14" s="2"/>
      <c r="ABV14" s="2"/>
      <c r="ABW14" s="2"/>
      <c r="ABX14" s="2"/>
      <c r="ABY14" s="2"/>
      <c r="ABZ14" s="2"/>
      <c r="ACA14" s="2"/>
      <c r="ACB14" s="2"/>
      <c r="ACC14" s="2"/>
      <c r="ACD14" s="2"/>
      <c r="ACE14" s="2"/>
      <c r="ACF14" s="2"/>
      <c r="ACG14" s="2"/>
      <c r="ACH14" s="2"/>
      <c r="ACI14" s="2"/>
      <c r="ACJ14" s="2"/>
      <c r="ACK14" s="2"/>
      <c r="ACL14" s="2"/>
      <c r="ACM14" s="2"/>
      <c r="ACN14" s="2"/>
      <c r="ACO14" s="2"/>
      <c r="ACP14" s="2"/>
      <c r="ACQ14" s="2"/>
      <c r="ACR14" s="2"/>
      <c r="ACS14" s="2"/>
      <c r="ACT14" s="2"/>
      <c r="ACU14" s="2"/>
      <c r="ACV14" s="2"/>
      <c r="ACW14" s="2"/>
      <c r="ACX14" s="2"/>
      <c r="ACY14" s="2"/>
      <c r="ACZ14" s="2"/>
      <c r="ADA14" s="2"/>
      <c r="ADB14" s="2"/>
      <c r="ADC14" s="2"/>
      <c r="ADD14" s="2"/>
      <c r="ADE14" s="2"/>
      <c r="ADF14" s="2"/>
      <c r="ADG14" s="2"/>
      <c r="ADH14" s="2"/>
      <c r="ADI14" s="2"/>
      <c r="ADJ14" s="2"/>
      <c r="ADK14" s="2"/>
      <c r="ADL14" s="2"/>
      <c r="ADM14" s="2"/>
      <c r="ADN14" s="2"/>
      <c r="ADO14" s="2"/>
      <c r="ADP14" s="2"/>
      <c r="ADQ14" s="2"/>
      <c r="ADR14" s="2"/>
      <c r="ADS14" s="2"/>
      <c r="ADT14" s="2"/>
      <c r="ADU14" s="2"/>
      <c r="ADV14" s="2"/>
      <c r="ADW14" s="2"/>
      <c r="ADX14" s="2"/>
      <c r="ADY14" s="2"/>
      <c r="ADZ14" s="2"/>
      <c r="AEA14" s="2"/>
      <c r="AEB14" s="2"/>
      <c r="AEC14" s="2"/>
      <c r="AED14" s="2"/>
      <c r="AEE14" s="2"/>
      <c r="AEF14" s="2"/>
      <c r="AEG14" s="2"/>
      <c r="AEH14" s="2"/>
      <c r="AEI14" s="2"/>
      <c r="AEJ14" s="2"/>
      <c r="AEK14" s="2"/>
      <c r="AEL14" s="2"/>
      <c r="AEM14" s="2"/>
      <c r="AEN14" s="2"/>
      <c r="AEO14" s="2"/>
      <c r="AEP14" s="2"/>
      <c r="AEQ14" s="2"/>
      <c r="AER14" s="2"/>
      <c r="AES14" s="2"/>
      <c r="AET14" s="2"/>
      <c r="AEU14" s="2"/>
      <c r="AEV14" s="2"/>
      <c r="AEW14" s="2"/>
      <c r="AEX14" s="2"/>
      <c r="AEY14" s="2"/>
      <c r="AEZ14" s="2"/>
      <c r="AFA14" s="2"/>
      <c r="AFB14" s="2"/>
      <c r="AFC14" s="2"/>
      <c r="AFD14" s="2"/>
      <c r="AFE14" s="2"/>
      <c r="AFF14" s="2"/>
      <c r="AFG14" s="2"/>
      <c r="AFH14" s="2"/>
      <c r="AFI14" s="2"/>
      <c r="AFJ14" s="2"/>
      <c r="AFK14" s="2"/>
      <c r="AFL14" s="2"/>
      <c r="AFM14" s="2"/>
      <c r="AFN14" s="2"/>
      <c r="AFO14" s="2"/>
      <c r="AFP14" s="2"/>
      <c r="AFQ14" s="2"/>
      <c r="AFR14" s="2"/>
      <c r="AFS14" s="2"/>
      <c r="AFT14" s="2"/>
      <c r="AFU14" s="2"/>
      <c r="AFV14" s="2"/>
      <c r="AFW14" s="2"/>
      <c r="AFX14" s="2"/>
      <c r="AFY14" s="2"/>
      <c r="AFZ14" s="2"/>
      <c r="AGA14" s="2"/>
      <c r="AGB14" s="2"/>
      <c r="AGC14" s="2"/>
      <c r="AGD14" s="2"/>
      <c r="AGE14" s="2"/>
      <c r="AGF14" s="2"/>
      <c r="AGG14" s="2"/>
      <c r="AGH14" s="2"/>
      <c r="AGI14" s="2"/>
      <c r="AGJ14" s="2"/>
      <c r="AGK14" s="2"/>
      <c r="AGL14" s="2"/>
      <c r="AGM14" s="2"/>
      <c r="AGN14" s="2"/>
      <c r="AGO14" s="2"/>
      <c r="AGP14" s="2"/>
      <c r="AGQ14" s="2"/>
      <c r="AGR14" s="2"/>
      <c r="AGS14" s="2"/>
      <c r="AGT14" s="2"/>
      <c r="AGU14" s="2"/>
      <c r="AGV14" s="2"/>
      <c r="AGW14" s="2"/>
      <c r="AGX14" s="2"/>
      <c r="AGY14" s="2"/>
      <c r="AGZ14" s="2"/>
      <c r="AHA14" s="2"/>
      <c r="AHB14" s="2"/>
      <c r="AHC14" s="2"/>
      <c r="AHD14" s="2"/>
      <c r="AHE14" s="2"/>
      <c r="AHF14" s="2"/>
      <c r="AHG14" s="2"/>
      <c r="AHH14" s="2"/>
      <c r="AHI14" s="2"/>
      <c r="AHJ14" s="2"/>
      <c r="AHK14" s="2"/>
      <c r="AHL14" s="2"/>
      <c r="AHM14" s="2"/>
      <c r="AHN14" s="2"/>
      <c r="AHO14" s="2"/>
      <c r="AHP14" s="2"/>
      <c r="AHQ14" s="2"/>
      <c r="AHR14" s="2"/>
      <c r="AHS14" s="2"/>
      <c r="AHT14" s="2"/>
      <c r="AHU14" s="2"/>
      <c r="AHV14" s="2"/>
      <c r="AHW14" s="2"/>
      <c r="AHX14" s="2"/>
      <c r="AHY14" s="2"/>
      <c r="AHZ14" s="2"/>
      <c r="AIA14" s="2"/>
      <c r="AIB14" s="2"/>
      <c r="AIC14" s="2"/>
      <c r="AID14" s="2"/>
      <c r="AIE14" s="2"/>
      <c r="AIF14" s="2"/>
      <c r="AIG14" s="2"/>
      <c r="AIH14" s="2"/>
      <c r="AII14" s="2"/>
      <c r="AIJ14" s="2"/>
      <c r="AIK14" s="2"/>
      <c r="AIL14" s="2"/>
      <c r="AIM14" s="2"/>
      <c r="AIN14" s="2"/>
      <c r="AIO14" s="2"/>
      <c r="AIP14" s="2"/>
      <c r="AIQ14" s="2"/>
      <c r="AIR14" s="2"/>
      <c r="AIS14" s="2"/>
      <c r="AIT14" s="2"/>
      <c r="AIU14" s="2"/>
      <c r="AIV14" s="2"/>
      <c r="AIW14" s="2"/>
      <c r="AIX14" s="2"/>
      <c r="AIY14" s="2"/>
      <c r="AIZ14" s="2"/>
      <c r="AJA14" s="2"/>
      <c r="AJB14" s="2"/>
      <c r="AJC14" s="2"/>
      <c r="AJD14" s="2"/>
      <c r="AJE14" s="2"/>
      <c r="AJF14" s="2"/>
      <c r="AJG14" s="2"/>
      <c r="AJH14" s="2"/>
      <c r="AJI14" s="2"/>
      <c r="AJJ14" s="2"/>
      <c r="AJK14" s="2"/>
      <c r="AJL14" s="2"/>
      <c r="AJM14" s="2"/>
      <c r="AJN14" s="2"/>
      <c r="AJO14" s="2"/>
      <c r="AJP14" s="2"/>
      <c r="AJQ14" s="2"/>
      <c r="AJR14" s="2"/>
      <c r="AJS14" s="2"/>
      <c r="AJT14" s="2"/>
      <c r="AJU14" s="2"/>
      <c r="AJV14" s="2"/>
      <c r="AJW14" s="2"/>
      <c r="AJX14" s="2"/>
      <c r="AJY14" s="2"/>
      <c r="AJZ14" s="2"/>
      <c r="AKA14" s="2"/>
      <c r="AKB14" s="2"/>
      <c r="AKC14" s="2"/>
      <c r="AKD14" s="2"/>
      <c r="AKE14" s="2"/>
      <c r="AKF14" s="2"/>
      <c r="AKG14" s="2"/>
      <c r="AKH14" s="2"/>
      <c r="AKI14" s="2"/>
      <c r="AKJ14" s="2"/>
      <c r="AKK14" s="2"/>
      <c r="AKL14" s="2"/>
      <c r="AKM14" s="2"/>
      <c r="AKN14" s="2"/>
      <c r="AKO14" s="2"/>
      <c r="AKP14" s="2"/>
      <c r="AKQ14" s="2"/>
      <c r="AKR14" s="2"/>
      <c r="AKS14" s="2"/>
      <c r="AKT14" s="2"/>
      <c r="AKU14" s="2"/>
      <c r="AKV14" s="2"/>
      <c r="AKW14" s="2"/>
      <c r="AKX14" s="2"/>
      <c r="AKY14" s="2"/>
      <c r="AKZ14" s="2"/>
      <c r="ALA14" s="2"/>
      <c r="ALB14" s="2"/>
      <c r="ALC14" s="2"/>
      <c r="ALD14" s="2"/>
      <c r="ALE14" s="2"/>
      <c r="ALF14" s="2"/>
      <c r="ALG14" s="2"/>
      <c r="ALH14" s="2"/>
      <c r="ALI14" s="2"/>
      <c r="ALJ14" s="2"/>
      <c r="ALK14" s="2"/>
      <c r="ALL14" s="2"/>
      <c r="ALM14" s="2"/>
      <c r="ALN14" s="2"/>
      <c r="ALO14" s="2"/>
      <c r="ALP14" s="2"/>
      <c r="ALQ14" s="2"/>
      <c r="ALR14" s="2"/>
      <c r="ALS14" s="2"/>
      <c r="ALT14" s="2"/>
      <c r="ALU14" s="2"/>
      <c r="ALV14" s="2"/>
      <c r="ALW14" s="2"/>
      <c r="ALX14" s="2"/>
    </row>
    <row r="15" customFormat="false" ht="15" hidden="false" customHeight="true" outlineLevel="0" collapsed="false">
      <c r="A15" s="2"/>
      <c r="B15" s="22" t="s">
        <v>94</v>
      </c>
      <c r="C15" s="64" t="n">
        <f aca="false">VLOOKUP($B15,Unidades!$D$5:$N$28,6,FALSE())</f>
        <v>460</v>
      </c>
      <c r="D15" s="64" t="n">
        <f aca="false">VLOOKUP($B15,Unidades!$D$5:$N$28,7,FALSE())</f>
        <v>436</v>
      </c>
      <c r="E15" s="64" t="n">
        <f aca="false">VLOOKUP($B15,Unidades!$D$5:$N$28,8,FALSE())</f>
        <v>24</v>
      </c>
      <c r="F15" s="64" t="n">
        <f aca="false">VLOOKUP($B15,Unidades!$D$5:$N$28,9,FALSE())</f>
        <v>0</v>
      </c>
      <c r="G15" s="64" t="n">
        <f aca="false">D15+E15*$E$6+F15*$F$6</f>
        <v>444.4</v>
      </c>
      <c r="H15" s="65" t="n">
        <f aca="false">IF(G15&lt;750,1.5,IF(G15&lt;2000,2,3))</f>
        <v>1.5</v>
      </c>
      <c r="I15" s="65" t="n">
        <f aca="false">$I$6*H15</f>
        <v>1.8</v>
      </c>
      <c r="J15" s="65" t="str">
        <f aca="false">VLOOKUP($B15,Unidades!$D$5:$N$28,10,FALSE())</f>
        <v>NÃO</v>
      </c>
      <c r="K15" s="65" t="str">
        <f aca="false">VLOOKUP($B15,Unidades!$D$5:$N$28,11,FALSE())</f>
        <v>SIM</v>
      </c>
      <c r="L15" s="65" t="n">
        <f aca="false">$L$6*H15+(IF(J15="SIM",$J$6,0))</f>
        <v>1.65</v>
      </c>
      <c r="M15" s="65" t="n">
        <f aca="false">$M$6*H15+(IF(J15="SIM",$J$6,0))+(IF(K15="SIM",$K$6,0))</f>
        <v>5.65</v>
      </c>
      <c r="N15" s="65" t="n">
        <f aca="false">H15*12+I15*4+L15*2+M15</f>
        <v>34.15</v>
      </c>
      <c r="O15" s="66" t="n">
        <f aca="false">IF(K15="não", N15*(C$24+D$24),N15*(C$24+D$24)+(M15*+E$24))</f>
        <v>2161.6335</v>
      </c>
      <c r="P15" s="67"/>
      <c r="Q15" s="22" t="str">
        <f aca="false">B15</f>
        <v>APS PINHALZINHO</v>
      </c>
      <c r="R15" s="24" t="n">
        <f aca="false">H15*($C$24+$D$24)</f>
        <v>84.75</v>
      </c>
      <c r="S15" s="24" t="n">
        <f aca="false">I15*($C$24+$D$24)</f>
        <v>101.7</v>
      </c>
      <c r="T15" s="24" t="n">
        <f aca="false">L15*($C$24+$D$24)</f>
        <v>93.225</v>
      </c>
      <c r="U15" s="24" t="n">
        <f aca="false">IF(K15="não",M15*($C$24+$D$24),M15*(C$24+D$24+E$24))</f>
        <v>551.3835</v>
      </c>
      <c r="V15" s="24" t="n">
        <f aca="false">VLOOKUP(Q15,'Desl. Base Chapecó'!$C$5:$S$18,13,FALSE())*($C$24+$D$24+$E$24*(VLOOKUP(Q15,'Desl. Base Chapecó'!$C$5:$S$18,17,FALSE())/12))</f>
        <v>95.8786666666667</v>
      </c>
      <c r="W15" s="24" t="n">
        <f aca="false">VLOOKUP(Q15,'Desl. Base Chapecó'!$C$5:$S$19,15,FALSE())*(2+(VLOOKUP(Q15,'Desl. Base Chapecó'!$C$5:$S$19,17,FALSE())/12))</f>
        <v>0</v>
      </c>
      <c r="X15" s="24" t="n">
        <f aca="false">VLOOKUP(Q15,'Desl. Base Chapecó'!$C$5:$Q$18,14,FALSE())</f>
        <v>0</v>
      </c>
      <c r="Y15" s="24" t="n">
        <f aca="false">VLOOKUP(Q15,'Desl. Base Chapecó'!$C$5:$Q$18,13,FALSE())*'Desl. Base Chapecó'!$E$23+'Desl. Base Chapecó'!$E$24*N15/12</f>
        <v>103.010541666667</v>
      </c>
      <c r="Z15" s="24" t="n">
        <f aca="false">(H15/$AC$5)*'Equipe Técnica'!$C$13</f>
        <v>276.428370567099</v>
      </c>
      <c r="AA15" s="24" t="n">
        <f aca="false">(I15/$AC$5)*'Equipe Técnica'!$C$13</f>
        <v>331.714044680519</v>
      </c>
      <c r="AB15" s="24" t="n">
        <f aca="false">(L15/$AC$5)*'Equipe Técnica'!$C$13</f>
        <v>304.071207623809</v>
      </c>
      <c r="AC15" s="24" t="n">
        <f aca="false">(M15/$AC$5)*'Equipe Técnica'!$C$13</f>
        <v>1041.21352913607</v>
      </c>
      <c r="AD15" s="24" t="n">
        <f aca="false">R15+(($V15+$W15+$X15+$Y15)*12/19)+$Z15</f>
        <v>486.792607409204</v>
      </c>
      <c r="AE15" s="24" t="n">
        <f aca="false">S15+(($V15+$W15+$X15+$Y15)*12/19)+$AA15</f>
        <v>559.028281522624</v>
      </c>
      <c r="AF15" s="24" t="n">
        <f aca="false">T15+(($V15+$W15+$X15+$Y15)*12/19)+$AB15</f>
        <v>522.910444465914</v>
      </c>
      <c r="AG15" s="24" t="n">
        <f aca="false">U15+(($V15+$W15+$X15+$Y15)*12/19)+$AC15</f>
        <v>1718.21126597818</v>
      </c>
      <c r="AH15" s="2"/>
      <c r="AI15" s="22" t="str">
        <f aca="false">B15</f>
        <v>APS PINHALZINHO</v>
      </c>
      <c r="AJ15" s="68" t="n">
        <f aca="false">VLOOKUP(AI15,Unidades!D$5:H$28,5,)</f>
        <v>0.2223</v>
      </c>
      <c r="AK15" s="48" t="n">
        <f aca="false">AD15*(1+$AJ15)</f>
        <v>595.006604036271</v>
      </c>
      <c r="AL15" s="48" t="n">
        <f aca="false">AE15*(1+$AJ15)</f>
        <v>683.300268505104</v>
      </c>
      <c r="AM15" s="48" t="n">
        <f aca="false">AF15*(1+$AJ15)</f>
        <v>639.153436270687</v>
      </c>
      <c r="AN15" s="48" t="n">
        <f aca="false">AG15*(1+$AJ15)</f>
        <v>2100.16963040513</v>
      </c>
      <c r="AO15" s="48" t="n">
        <f aca="false">((AK15*12)+(AL15*4)+(AM15*2)+AN15)/12</f>
        <v>1104.31306878351</v>
      </c>
      <c r="AP15" s="48" t="n">
        <f aca="false">AO15*3</f>
        <v>3312.93920635054</v>
      </c>
      <c r="AQ15" s="48" t="n">
        <f aca="false">AO15+AP15</f>
        <v>4417.25227513405</v>
      </c>
      <c r="AR15" s="69"/>
      <c r="AS15" s="72" t="s">
        <v>95</v>
      </c>
      <c r="AT15" s="48" t="n">
        <f aca="false">AT11+AT13</f>
        <v>1075280.55024635</v>
      </c>
      <c r="AU15" s="48"/>
      <c r="AV15" s="69"/>
      <c r="AW15" s="69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  <c r="BV15" s="2"/>
      <c r="BW15" s="2"/>
      <c r="BX15" s="2"/>
      <c r="BY15" s="2"/>
      <c r="BZ15" s="2"/>
      <c r="CA15" s="2"/>
      <c r="CB15" s="2"/>
      <c r="CC15" s="2"/>
      <c r="CD15" s="2"/>
      <c r="CE15" s="2"/>
      <c r="CF15" s="2"/>
      <c r="CG15" s="2"/>
      <c r="CH15" s="2"/>
      <c r="CI15" s="2"/>
      <c r="CJ15" s="2"/>
      <c r="CK15" s="2"/>
      <c r="CL15" s="2"/>
      <c r="CM15" s="2"/>
      <c r="CN15" s="2"/>
      <c r="CO15" s="2"/>
      <c r="CP15" s="2"/>
      <c r="CQ15" s="2"/>
      <c r="CR15" s="2"/>
      <c r="CS15" s="2"/>
      <c r="CT15" s="2"/>
      <c r="CU15" s="2"/>
      <c r="CV15" s="2"/>
      <c r="CW15" s="2"/>
      <c r="CX15" s="2"/>
      <c r="CY15" s="2"/>
      <c r="CZ15" s="2"/>
      <c r="DA15" s="2"/>
      <c r="DB15" s="2"/>
      <c r="DC15" s="2"/>
      <c r="DD15" s="2"/>
      <c r="DE15" s="2"/>
      <c r="DF15" s="2"/>
      <c r="DG15" s="2"/>
      <c r="DH15" s="2"/>
      <c r="DI15" s="2"/>
      <c r="DJ15" s="2"/>
      <c r="DK15" s="2"/>
      <c r="DL15" s="2"/>
      <c r="DM15" s="2"/>
      <c r="DN15" s="2"/>
      <c r="DO15" s="2"/>
      <c r="DP15" s="2"/>
      <c r="DQ15" s="2"/>
      <c r="DR15" s="2"/>
      <c r="DS15" s="2"/>
      <c r="DT15" s="2"/>
      <c r="DU15" s="2"/>
      <c r="DV15" s="2"/>
      <c r="DW15" s="2"/>
      <c r="DX15" s="2"/>
      <c r="DY15" s="2"/>
      <c r="DZ15" s="2"/>
      <c r="EA15" s="2"/>
      <c r="EB15" s="2"/>
      <c r="EC15" s="2"/>
      <c r="ED15" s="2"/>
      <c r="EE15" s="2"/>
      <c r="EF15" s="2"/>
      <c r="EG15" s="2"/>
      <c r="EH15" s="2"/>
      <c r="EI15" s="2"/>
      <c r="EJ15" s="2"/>
      <c r="EK15" s="2"/>
      <c r="EL15" s="2"/>
      <c r="EM15" s="2"/>
      <c r="EN15" s="2"/>
      <c r="EO15" s="2"/>
      <c r="EP15" s="2"/>
      <c r="EQ15" s="2"/>
      <c r="ER15" s="2"/>
      <c r="ES15" s="2"/>
      <c r="ET15" s="2"/>
      <c r="EU15" s="2"/>
      <c r="EV15" s="2"/>
      <c r="EW15" s="2"/>
      <c r="EX15" s="2"/>
      <c r="EY15" s="2"/>
      <c r="EZ15" s="2"/>
      <c r="FA15" s="2"/>
      <c r="FB15" s="2"/>
      <c r="FC15" s="2"/>
      <c r="FD15" s="2"/>
      <c r="FE15" s="2"/>
      <c r="FF15" s="2"/>
      <c r="FG15" s="2"/>
      <c r="FH15" s="2"/>
      <c r="FI15" s="2"/>
      <c r="FJ15" s="2"/>
      <c r="FK15" s="2"/>
      <c r="FL15" s="2"/>
      <c r="FM15" s="2"/>
      <c r="FN15" s="2"/>
      <c r="FO15" s="2"/>
      <c r="FP15" s="2"/>
      <c r="FQ15" s="2"/>
      <c r="FR15" s="2"/>
      <c r="FS15" s="2"/>
      <c r="FT15" s="2"/>
      <c r="FU15" s="2"/>
      <c r="FV15" s="2"/>
      <c r="FW15" s="2"/>
      <c r="FX15" s="2"/>
      <c r="FY15" s="2"/>
      <c r="FZ15" s="2"/>
      <c r="GA15" s="2"/>
      <c r="GB15" s="2"/>
      <c r="GC15" s="2"/>
      <c r="GD15" s="2"/>
      <c r="GE15" s="2"/>
      <c r="GF15" s="2"/>
      <c r="GG15" s="2"/>
      <c r="GH15" s="2"/>
      <c r="GI15" s="2"/>
      <c r="GJ15" s="2"/>
      <c r="GK15" s="2"/>
      <c r="GL15" s="2"/>
      <c r="GM15" s="2"/>
      <c r="GN15" s="2"/>
      <c r="GO15" s="2"/>
      <c r="GP15" s="2"/>
      <c r="GQ15" s="2"/>
      <c r="GR15" s="2"/>
      <c r="GS15" s="2"/>
      <c r="GT15" s="2"/>
      <c r="GU15" s="2"/>
      <c r="GV15" s="2"/>
      <c r="GW15" s="2"/>
      <c r="GX15" s="2"/>
      <c r="GY15" s="2"/>
      <c r="GZ15" s="2"/>
      <c r="HA15" s="2"/>
      <c r="HB15" s="2"/>
      <c r="HC15" s="2"/>
      <c r="HD15" s="2"/>
      <c r="HE15" s="2"/>
      <c r="HF15" s="2"/>
      <c r="HG15" s="2"/>
      <c r="HH15" s="2"/>
      <c r="HI15" s="2"/>
      <c r="HJ15" s="2"/>
      <c r="HK15" s="2"/>
      <c r="HL15" s="2"/>
      <c r="HM15" s="2"/>
      <c r="HN15" s="2"/>
      <c r="HO15" s="2"/>
      <c r="HP15" s="2"/>
      <c r="HQ15" s="2"/>
      <c r="HR15" s="2"/>
      <c r="HS15" s="2"/>
      <c r="HT15" s="2"/>
      <c r="HU15" s="2"/>
      <c r="HV15" s="2"/>
      <c r="HW15" s="2"/>
      <c r="HX15" s="2"/>
      <c r="HY15" s="2"/>
      <c r="HZ15" s="2"/>
      <c r="IA15" s="2"/>
      <c r="IB15" s="2"/>
      <c r="IC15" s="2"/>
      <c r="ID15" s="2"/>
      <c r="IE15" s="2"/>
      <c r="IF15" s="2"/>
      <c r="IG15" s="2"/>
      <c r="IH15" s="2"/>
      <c r="II15" s="2"/>
      <c r="IJ15" s="2"/>
      <c r="IK15" s="2"/>
      <c r="IL15" s="2"/>
      <c r="IM15" s="2"/>
      <c r="IN15" s="2"/>
      <c r="IO15" s="2"/>
      <c r="IP15" s="2"/>
      <c r="IQ15" s="2"/>
      <c r="IR15" s="2"/>
      <c r="IS15" s="2"/>
      <c r="IT15" s="2"/>
      <c r="IU15" s="2"/>
      <c r="IV15" s="2"/>
      <c r="IW15" s="2"/>
      <c r="IX15" s="2"/>
      <c r="IY15" s="2"/>
      <c r="IZ15" s="2"/>
      <c r="JA15" s="2"/>
      <c r="JB15" s="2"/>
      <c r="JC15" s="2"/>
      <c r="JD15" s="2"/>
      <c r="JE15" s="2"/>
      <c r="JF15" s="2"/>
      <c r="JG15" s="2"/>
      <c r="JH15" s="2"/>
      <c r="JI15" s="2"/>
      <c r="JJ15" s="2"/>
      <c r="JK15" s="2"/>
      <c r="JL15" s="2"/>
      <c r="JM15" s="2"/>
      <c r="JN15" s="2"/>
      <c r="JO15" s="2"/>
      <c r="JP15" s="2"/>
      <c r="JQ15" s="2"/>
      <c r="JR15" s="2"/>
      <c r="JS15" s="2"/>
      <c r="JT15" s="2"/>
      <c r="JU15" s="2"/>
      <c r="JV15" s="2"/>
      <c r="JW15" s="2"/>
      <c r="JX15" s="2"/>
      <c r="JY15" s="2"/>
      <c r="JZ15" s="2"/>
      <c r="KA15" s="2"/>
      <c r="KB15" s="2"/>
      <c r="KC15" s="2"/>
      <c r="KD15" s="2"/>
      <c r="KE15" s="2"/>
      <c r="KF15" s="2"/>
      <c r="KG15" s="2"/>
      <c r="KH15" s="2"/>
      <c r="KI15" s="2"/>
      <c r="KJ15" s="2"/>
      <c r="KK15" s="2"/>
      <c r="KL15" s="2"/>
      <c r="KM15" s="2"/>
      <c r="KN15" s="2"/>
      <c r="KO15" s="2"/>
      <c r="KP15" s="2"/>
      <c r="KQ15" s="2"/>
      <c r="KR15" s="2"/>
      <c r="KS15" s="2"/>
      <c r="KT15" s="2"/>
      <c r="KU15" s="2"/>
      <c r="KV15" s="2"/>
      <c r="KW15" s="2"/>
      <c r="KX15" s="2"/>
      <c r="KY15" s="2"/>
      <c r="KZ15" s="2"/>
      <c r="LA15" s="2"/>
      <c r="LB15" s="2"/>
      <c r="LC15" s="2"/>
      <c r="LD15" s="2"/>
      <c r="LE15" s="2"/>
      <c r="LF15" s="2"/>
      <c r="LG15" s="2"/>
      <c r="LH15" s="2"/>
      <c r="LI15" s="2"/>
      <c r="LJ15" s="2"/>
      <c r="LK15" s="2"/>
      <c r="LL15" s="2"/>
      <c r="LM15" s="2"/>
      <c r="LN15" s="2"/>
      <c r="LO15" s="2"/>
      <c r="LP15" s="2"/>
      <c r="LQ15" s="2"/>
      <c r="LR15" s="2"/>
      <c r="LS15" s="2"/>
      <c r="LT15" s="2"/>
      <c r="LU15" s="2"/>
      <c r="LV15" s="2"/>
      <c r="LW15" s="2"/>
      <c r="LX15" s="2"/>
      <c r="LY15" s="2"/>
      <c r="LZ15" s="2"/>
      <c r="MA15" s="2"/>
      <c r="MB15" s="2"/>
      <c r="MC15" s="2"/>
      <c r="MD15" s="2"/>
      <c r="ME15" s="2"/>
      <c r="MF15" s="2"/>
      <c r="MG15" s="2"/>
      <c r="MH15" s="2"/>
      <c r="MI15" s="2"/>
      <c r="MJ15" s="2"/>
      <c r="MK15" s="2"/>
      <c r="ML15" s="2"/>
      <c r="MM15" s="2"/>
      <c r="MN15" s="2"/>
      <c r="MO15" s="2"/>
      <c r="MP15" s="2"/>
      <c r="MQ15" s="2"/>
      <c r="MR15" s="2"/>
      <c r="MS15" s="2"/>
      <c r="MT15" s="2"/>
      <c r="MU15" s="2"/>
      <c r="MV15" s="2"/>
      <c r="MW15" s="2"/>
      <c r="MX15" s="2"/>
      <c r="MY15" s="2"/>
      <c r="MZ15" s="2"/>
      <c r="NA15" s="2"/>
      <c r="NB15" s="2"/>
      <c r="NC15" s="2"/>
      <c r="ND15" s="2"/>
      <c r="NE15" s="2"/>
      <c r="NF15" s="2"/>
      <c r="NG15" s="2"/>
      <c r="NH15" s="2"/>
      <c r="NI15" s="2"/>
      <c r="NJ15" s="2"/>
      <c r="NK15" s="2"/>
      <c r="NL15" s="2"/>
      <c r="NM15" s="2"/>
      <c r="NN15" s="2"/>
      <c r="NO15" s="2"/>
      <c r="NP15" s="2"/>
      <c r="NQ15" s="2"/>
      <c r="NR15" s="2"/>
      <c r="NS15" s="2"/>
      <c r="NT15" s="2"/>
      <c r="NU15" s="2"/>
      <c r="NV15" s="2"/>
      <c r="NW15" s="2"/>
      <c r="NX15" s="2"/>
      <c r="NY15" s="2"/>
      <c r="NZ15" s="2"/>
      <c r="OA15" s="2"/>
      <c r="OB15" s="2"/>
      <c r="OC15" s="2"/>
      <c r="OD15" s="2"/>
      <c r="OE15" s="2"/>
      <c r="OF15" s="2"/>
      <c r="OG15" s="2"/>
      <c r="OH15" s="2"/>
      <c r="OI15" s="2"/>
      <c r="OJ15" s="2"/>
      <c r="OK15" s="2"/>
      <c r="OL15" s="2"/>
      <c r="OM15" s="2"/>
      <c r="ON15" s="2"/>
      <c r="OO15" s="2"/>
      <c r="OP15" s="2"/>
      <c r="OQ15" s="2"/>
      <c r="OR15" s="2"/>
      <c r="OS15" s="2"/>
      <c r="OT15" s="2"/>
      <c r="OU15" s="2"/>
      <c r="OV15" s="2"/>
      <c r="OW15" s="2"/>
      <c r="OX15" s="2"/>
      <c r="OY15" s="2"/>
      <c r="OZ15" s="2"/>
      <c r="PA15" s="2"/>
      <c r="PB15" s="2"/>
      <c r="PC15" s="2"/>
      <c r="PD15" s="2"/>
      <c r="PE15" s="2"/>
      <c r="PF15" s="2"/>
      <c r="PG15" s="2"/>
      <c r="PH15" s="2"/>
      <c r="PI15" s="2"/>
      <c r="PJ15" s="2"/>
      <c r="PK15" s="2"/>
      <c r="PL15" s="2"/>
      <c r="PM15" s="2"/>
      <c r="PN15" s="2"/>
      <c r="PO15" s="2"/>
      <c r="PP15" s="2"/>
      <c r="PQ15" s="2"/>
      <c r="PR15" s="2"/>
      <c r="PS15" s="2"/>
      <c r="PT15" s="2"/>
      <c r="PU15" s="2"/>
      <c r="PV15" s="2"/>
      <c r="PW15" s="2"/>
      <c r="PX15" s="2"/>
      <c r="PY15" s="2"/>
      <c r="PZ15" s="2"/>
      <c r="QA15" s="2"/>
      <c r="QB15" s="2"/>
      <c r="QC15" s="2"/>
      <c r="QD15" s="2"/>
      <c r="QE15" s="2"/>
      <c r="QF15" s="2"/>
      <c r="QG15" s="2"/>
      <c r="QH15" s="2"/>
      <c r="QI15" s="2"/>
      <c r="QJ15" s="2"/>
      <c r="QK15" s="2"/>
      <c r="QL15" s="2"/>
      <c r="QM15" s="2"/>
      <c r="QN15" s="2"/>
      <c r="QO15" s="2"/>
      <c r="QP15" s="2"/>
      <c r="QQ15" s="2"/>
      <c r="QR15" s="2"/>
      <c r="QS15" s="2"/>
      <c r="QT15" s="2"/>
      <c r="QU15" s="2"/>
      <c r="QV15" s="2"/>
      <c r="QW15" s="2"/>
      <c r="QX15" s="2"/>
      <c r="QY15" s="2"/>
      <c r="QZ15" s="2"/>
      <c r="RA15" s="2"/>
      <c r="RB15" s="2"/>
      <c r="RC15" s="2"/>
      <c r="RD15" s="2"/>
      <c r="RE15" s="2"/>
      <c r="RF15" s="2"/>
      <c r="RG15" s="2"/>
      <c r="RH15" s="2"/>
      <c r="RI15" s="2"/>
      <c r="RJ15" s="2"/>
      <c r="RK15" s="2"/>
      <c r="RL15" s="2"/>
      <c r="RM15" s="2"/>
      <c r="RN15" s="2"/>
      <c r="RO15" s="2"/>
      <c r="RP15" s="2"/>
      <c r="RQ15" s="2"/>
      <c r="RR15" s="2"/>
      <c r="RS15" s="2"/>
      <c r="RT15" s="2"/>
      <c r="RU15" s="2"/>
      <c r="RV15" s="2"/>
      <c r="RW15" s="2"/>
      <c r="RX15" s="2"/>
      <c r="RY15" s="2"/>
      <c r="RZ15" s="2"/>
      <c r="SA15" s="2"/>
      <c r="SB15" s="2"/>
      <c r="SC15" s="2"/>
      <c r="SD15" s="2"/>
      <c r="SE15" s="2"/>
      <c r="SF15" s="2"/>
      <c r="SG15" s="2"/>
      <c r="SH15" s="2"/>
      <c r="SI15" s="2"/>
      <c r="SJ15" s="2"/>
      <c r="SK15" s="2"/>
      <c r="SL15" s="2"/>
      <c r="SM15" s="2"/>
      <c r="SN15" s="2"/>
      <c r="SO15" s="2"/>
      <c r="SP15" s="2"/>
      <c r="SQ15" s="2"/>
      <c r="SR15" s="2"/>
      <c r="SS15" s="2"/>
      <c r="ST15" s="2"/>
      <c r="SU15" s="2"/>
      <c r="SV15" s="2"/>
      <c r="SW15" s="2"/>
      <c r="SX15" s="2"/>
      <c r="SY15" s="2"/>
      <c r="SZ15" s="2"/>
      <c r="TA15" s="2"/>
      <c r="TB15" s="2"/>
      <c r="TC15" s="2"/>
      <c r="TD15" s="2"/>
      <c r="TE15" s="2"/>
      <c r="TF15" s="2"/>
      <c r="TG15" s="2"/>
      <c r="TH15" s="2"/>
      <c r="TI15" s="2"/>
      <c r="TJ15" s="2"/>
      <c r="TK15" s="2"/>
      <c r="TL15" s="2"/>
      <c r="TM15" s="2"/>
      <c r="TN15" s="2"/>
      <c r="TO15" s="2"/>
      <c r="TP15" s="2"/>
      <c r="TQ15" s="2"/>
      <c r="TR15" s="2"/>
      <c r="TS15" s="2"/>
      <c r="TT15" s="2"/>
      <c r="TU15" s="2"/>
      <c r="TV15" s="2"/>
      <c r="TW15" s="2"/>
      <c r="TX15" s="2"/>
      <c r="TY15" s="2"/>
      <c r="TZ15" s="2"/>
      <c r="UA15" s="2"/>
      <c r="UB15" s="2"/>
      <c r="UC15" s="2"/>
      <c r="UD15" s="2"/>
      <c r="UE15" s="2"/>
      <c r="UF15" s="2"/>
      <c r="UG15" s="2"/>
      <c r="UH15" s="2"/>
      <c r="UI15" s="2"/>
      <c r="UJ15" s="2"/>
      <c r="UK15" s="2"/>
      <c r="UL15" s="2"/>
      <c r="UM15" s="2"/>
      <c r="UN15" s="2"/>
      <c r="UO15" s="2"/>
      <c r="UP15" s="2"/>
      <c r="UQ15" s="2"/>
      <c r="UR15" s="2"/>
      <c r="US15" s="2"/>
      <c r="UT15" s="2"/>
      <c r="UU15" s="2"/>
      <c r="UV15" s="2"/>
      <c r="UW15" s="2"/>
      <c r="UX15" s="2"/>
      <c r="UY15" s="2"/>
      <c r="UZ15" s="2"/>
      <c r="VA15" s="2"/>
      <c r="VB15" s="2"/>
      <c r="VC15" s="2"/>
      <c r="VD15" s="2"/>
      <c r="VE15" s="2"/>
      <c r="VF15" s="2"/>
      <c r="VG15" s="2"/>
      <c r="VH15" s="2"/>
      <c r="VI15" s="2"/>
      <c r="VJ15" s="2"/>
      <c r="VK15" s="2"/>
      <c r="VL15" s="2"/>
      <c r="VM15" s="2"/>
      <c r="VN15" s="2"/>
      <c r="VO15" s="2"/>
      <c r="VP15" s="2"/>
      <c r="VQ15" s="2"/>
      <c r="VR15" s="2"/>
      <c r="VS15" s="2"/>
      <c r="VT15" s="2"/>
      <c r="VU15" s="2"/>
      <c r="VV15" s="2"/>
      <c r="VW15" s="2"/>
      <c r="VX15" s="2"/>
      <c r="VY15" s="2"/>
      <c r="VZ15" s="2"/>
      <c r="WA15" s="2"/>
      <c r="WB15" s="2"/>
      <c r="WC15" s="2"/>
      <c r="WD15" s="2"/>
      <c r="WE15" s="2"/>
      <c r="WF15" s="2"/>
      <c r="WG15" s="2"/>
      <c r="WH15" s="2"/>
      <c r="WI15" s="2"/>
      <c r="WJ15" s="2"/>
      <c r="WK15" s="2"/>
      <c r="WL15" s="2"/>
      <c r="WM15" s="2"/>
      <c r="WN15" s="2"/>
      <c r="WO15" s="2"/>
      <c r="WP15" s="2"/>
      <c r="WQ15" s="2"/>
      <c r="WR15" s="2"/>
      <c r="WS15" s="2"/>
      <c r="WT15" s="2"/>
      <c r="WU15" s="2"/>
      <c r="WV15" s="2"/>
      <c r="WW15" s="2"/>
      <c r="WX15" s="2"/>
      <c r="WY15" s="2"/>
      <c r="WZ15" s="2"/>
      <c r="XA15" s="2"/>
      <c r="XB15" s="2"/>
      <c r="XC15" s="2"/>
      <c r="XD15" s="2"/>
      <c r="XE15" s="2"/>
      <c r="XF15" s="2"/>
      <c r="XG15" s="2"/>
      <c r="XH15" s="2"/>
      <c r="XI15" s="2"/>
      <c r="XJ15" s="2"/>
      <c r="XK15" s="2"/>
      <c r="XL15" s="2"/>
      <c r="XM15" s="2"/>
      <c r="XN15" s="2"/>
      <c r="XO15" s="2"/>
      <c r="XP15" s="2"/>
      <c r="XQ15" s="2"/>
      <c r="XR15" s="2"/>
      <c r="XS15" s="2"/>
      <c r="XT15" s="2"/>
      <c r="XU15" s="2"/>
      <c r="XV15" s="2"/>
      <c r="XW15" s="2"/>
      <c r="XX15" s="2"/>
      <c r="XY15" s="2"/>
      <c r="XZ15" s="2"/>
      <c r="YA15" s="2"/>
      <c r="YB15" s="2"/>
      <c r="YC15" s="2"/>
      <c r="YD15" s="2"/>
      <c r="YE15" s="2"/>
      <c r="YF15" s="2"/>
      <c r="YG15" s="2"/>
      <c r="YH15" s="2"/>
      <c r="YI15" s="2"/>
      <c r="YJ15" s="2"/>
      <c r="YK15" s="2"/>
      <c r="YL15" s="2"/>
      <c r="YM15" s="2"/>
      <c r="YN15" s="2"/>
      <c r="YO15" s="2"/>
      <c r="YP15" s="2"/>
      <c r="YQ15" s="2"/>
      <c r="YR15" s="2"/>
      <c r="YS15" s="2"/>
      <c r="YT15" s="2"/>
      <c r="YU15" s="2"/>
      <c r="YV15" s="2"/>
      <c r="YW15" s="2"/>
      <c r="YX15" s="2"/>
      <c r="YY15" s="2"/>
      <c r="YZ15" s="2"/>
      <c r="ZA15" s="2"/>
      <c r="ZB15" s="2"/>
      <c r="ZC15" s="2"/>
      <c r="ZD15" s="2"/>
      <c r="ZE15" s="2"/>
      <c r="ZF15" s="2"/>
      <c r="ZG15" s="2"/>
      <c r="ZH15" s="2"/>
      <c r="ZI15" s="2"/>
      <c r="ZJ15" s="2"/>
      <c r="ZK15" s="2"/>
      <c r="ZL15" s="2"/>
      <c r="ZM15" s="2"/>
      <c r="ZN15" s="2"/>
      <c r="ZO15" s="2"/>
      <c r="ZP15" s="2"/>
      <c r="ZQ15" s="2"/>
      <c r="ZR15" s="2"/>
      <c r="ZS15" s="2"/>
      <c r="ZT15" s="2"/>
      <c r="ZU15" s="2"/>
      <c r="ZV15" s="2"/>
      <c r="ZW15" s="2"/>
      <c r="ZX15" s="2"/>
      <c r="ZY15" s="2"/>
      <c r="ZZ15" s="2"/>
      <c r="AAA15" s="2"/>
      <c r="AAB15" s="2"/>
      <c r="AAC15" s="2"/>
      <c r="AAD15" s="2"/>
      <c r="AAE15" s="2"/>
      <c r="AAF15" s="2"/>
      <c r="AAG15" s="2"/>
      <c r="AAH15" s="2"/>
      <c r="AAI15" s="2"/>
      <c r="AAJ15" s="2"/>
      <c r="AAK15" s="2"/>
      <c r="AAL15" s="2"/>
      <c r="AAM15" s="2"/>
      <c r="AAN15" s="2"/>
      <c r="AAO15" s="2"/>
      <c r="AAP15" s="2"/>
      <c r="AAQ15" s="2"/>
      <c r="AAR15" s="2"/>
      <c r="AAS15" s="2"/>
      <c r="AAT15" s="2"/>
      <c r="AAU15" s="2"/>
      <c r="AAV15" s="2"/>
      <c r="AAW15" s="2"/>
      <c r="AAX15" s="2"/>
      <c r="AAY15" s="2"/>
      <c r="AAZ15" s="2"/>
      <c r="ABA15" s="2"/>
      <c r="ABB15" s="2"/>
      <c r="ABC15" s="2"/>
      <c r="ABD15" s="2"/>
      <c r="ABE15" s="2"/>
      <c r="ABF15" s="2"/>
      <c r="ABG15" s="2"/>
      <c r="ABH15" s="2"/>
      <c r="ABI15" s="2"/>
      <c r="ABJ15" s="2"/>
      <c r="ABK15" s="2"/>
      <c r="ABL15" s="2"/>
      <c r="ABM15" s="2"/>
      <c r="ABN15" s="2"/>
      <c r="ABO15" s="2"/>
      <c r="ABP15" s="2"/>
      <c r="ABQ15" s="2"/>
      <c r="ABR15" s="2"/>
      <c r="ABS15" s="2"/>
      <c r="ABT15" s="2"/>
      <c r="ABU15" s="2"/>
      <c r="ABV15" s="2"/>
      <c r="ABW15" s="2"/>
      <c r="ABX15" s="2"/>
      <c r="ABY15" s="2"/>
      <c r="ABZ15" s="2"/>
      <c r="ACA15" s="2"/>
      <c r="ACB15" s="2"/>
      <c r="ACC15" s="2"/>
      <c r="ACD15" s="2"/>
      <c r="ACE15" s="2"/>
      <c r="ACF15" s="2"/>
      <c r="ACG15" s="2"/>
      <c r="ACH15" s="2"/>
      <c r="ACI15" s="2"/>
      <c r="ACJ15" s="2"/>
      <c r="ACK15" s="2"/>
      <c r="ACL15" s="2"/>
      <c r="ACM15" s="2"/>
      <c r="ACN15" s="2"/>
      <c r="ACO15" s="2"/>
      <c r="ACP15" s="2"/>
      <c r="ACQ15" s="2"/>
      <c r="ACR15" s="2"/>
      <c r="ACS15" s="2"/>
      <c r="ACT15" s="2"/>
      <c r="ACU15" s="2"/>
      <c r="ACV15" s="2"/>
      <c r="ACW15" s="2"/>
      <c r="ACX15" s="2"/>
      <c r="ACY15" s="2"/>
      <c r="ACZ15" s="2"/>
      <c r="ADA15" s="2"/>
      <c r="ADB15" s="2"/>
      <c r="ADC15" s="2"/>
      <c r="ADD15" s="2"/>
      <c r="ADE15" s="2"/>
      <c r="ADF15" s="2"/>
      <c r="ADG15" s="2"/>
      <c r="ADH15" s="2"/>
      <c r="ADI15" s="2"/>
      <c r="ADJ15" s="2"/>
      <c r="ADK15" s="2"/>
      <c r="ADL15" s="2"/>
      <c r="ADM15" s="2"/>
      <c r="ADN15" s="2"/>
      <c r="ADO15" s="2"/>
      <c r="ADP15" s="2"/>
      <c r="ADQ15" s="2"/>
      <c r="ADR15" s="2"/>
      <c r="ADS15" s="2"/>
      <c r="ADT15" s="2"/>
      <c r="ADU15" s="2"/>
      <c r="ADV15" s="2"/>
      <c r="ADW15" s="2"/>
      <c r="ADX15" s="2"/>
      <c r="ADY15" s="2"/>
      <c r="ADZ15" s="2"/>
      <c r="AEA15" s="2"/>
      <c r="AEB15" s="2"/>
      <c r="AEC15" s="2"/>
      <c r="AED15" s="2"/>
      <c r="AEE15" s="2"/>
      <c r="AEF15" s="2"/>
      <c r="AEG15" s="2"/>
      <c r="AEH15" s="2"/>
      <c r="AEI15" s="2"/>
      <c r="AEJ15" s="2"/>
      <c r="AEK15" s="2"/>
      <c r="AEL15" s="2"/>
      <c r="AEM15" s="2"/>
      <c r="AEN15" s="2"/>
      <c r="AEO15" s="2"/>
      <c r="AEP15" s="2"/>
      <c r="AEQ15" s="2"/>
      <c r="AER15" s="2"/>
      <c r="AES15" s="2"/>
      <c r="AET15" s="2"/>
      <c r="AEU15" s="2"/>
      <c r="AEV15" s="2"/>
      <c r="AEW15" s="2"/>
      <c r="AEX15" s="2"/>
      <c r="AEY15" s="2"/>
      <c r="AEZ15" s="2"/>
      <c r="AFA15" s="2"/>
      <c r="AFB15" s="2"/>
      <c r="AFC15" s="2"/>
      <c r="AFD15" s="2"/>
      <c r="AFE15" s="2"/>
      <c r="AFF15" s="2"/>
      <c r="AFG15" s="2"/>
      <c r="AFH15" s="2"/>
      <c r="AFI15" s="2"/>
      <c r="AFJ15" s="2"/>
      <c r="AFK15" s="2"/>
      <c r="AFL15" s="2"/>
      <c r="AFM15" s="2"/>
      <c r="AFN15" s="2"/>
      <c r="AFO15" s="2"/>
      <c r="AFP15" s="2"/>
      <c r="AFQ15" s="2"/>
      <c r="AFR15" s="2"/>
      <c r="AFS15" s="2"/>
      <c r="AFT15" s="2"/>
      <c r="AFU15" s="2"/>
      <c r="AFV15" s="2"/>
      <c r="AFW15" s="2"/>
      <c r="AFX15" s="2"/>
      <c r="AFY15" s="2"/>
      <c r="AFZ15" s="2"/>
      <c r="AGA15" s="2"/>
      <c r="AGB15" s="2"/>
      <c r="AGC15" s="2"/>
      <c r="AGD15" s="2"/>
      <c r="AGE15" s="2"/>
      <c r="AGF15" s="2"/>
      <c r="AGG15" s="2"/>
      <c r="AGH15" s="2"/>
      <c r="AGI15" s="2"/>
      <c r="AGJ15" s="2"/>
      <c r="AGK15" s="2"/>
      <c r="AGL15" s="2"/>
      <c r="AGM15" s="2"/>
      <c r="AGN15" s="2"/>
      <c r="AGO15" s="2"/>
      <c r="AGP15" s="2"/>
      <c r="AGQ15" s="2"/>
      <c r="AGR15" s="2"/>
      <c r="AGS15" s="2"/>
      <c r="AGT15" s="2"/>
      <c r="AGU15" s="2"/>
      <c r="AGV15" s="2"/>
      <c r="AGW15" s="2"/>
      <c r="AGX15" s="2"/>
      <c r="AGY15" s="2"/>
      <c r="AGZ15" s="2"/>
      <c r="AHA15" s="2"/>
      <c r="AHB15" s="2"/>
      <c r="AHC15" s="2"/>
      <c r="AHD15" s="2"/>
      <c r="AHE15" s="2"/>
      <c r="AHF15" s="2"/>
      <c r="AHG15" s="2"/>
      <c r="AHH15" s="2"/>
      <c r="AHI15" s="2"/>
      <c r="AHJ15" s="2"/>
      <c r="AHK15" s="2"/>
      <c r="AHL15" s="2"/>
      <c r="AHM15" s="2"/>
      <c r="AHN15" s="2"/>
      <c r="AHO15" s="2"/>
      <c r="AHP15" s="2"/>
      <c r="AHQ15" s="2"/>
      <c r="AHR15" s="2"/>
      <c r="AHS15" s="2"/>
      <c r="AHT15" s="2"/>
      <c r="AHU15" s="2"/>
      <c r="AHV15" s="2"/>
      <c r="AHW15" s="2"/>
      <c r="AHX15" s="2"/>
      <c r="AHY15" s="2"/>
      <c r="AHZ15" s="2"/>
      <c r="AIA15" s="2"/>
      <c r="AIB15" s="2"/>
      <c r="AIC15" s="2"/>
      <c r="AID15" s="2"/>
      <c r="AIE15" s="2"/>
      <c r="AIF15" s="2"/>
      <c r="AIG15" s="2"/>
      <c r="AIH15" s="2"/>
      <c r="AII15" s="2"/>
      <c r="AIJ15" s="2"/>
      <c r="AIK15" s="2"/>
      <c r="AIL15" s="2"/>
      <c r="AIM15" s="2"/>
      <c r="AIN15" s="2"/>
      <c r="AIO15" s="2"/>
      <c r="AIP15" s="2"/>
      <c r="AIQ15" s="2"/>
      <c r="AIR15" s="2"/>
      <c r="AIS15" s="2"/>
      <c r="AIT15" s="2"/>
      <c r="AIU15" s="2"/>
      <c r="AIV15" s="2"/>
      <c r="AIW15" s="2"/>
      <c r="AIX15" s="2"/>
      <c r="AIY15" s="2"/>
      <c r="AIZ15" s="2"/>
      <c r="AJA15" s="2"/>
      <c r="AJB15" s="2"/>
      <c r="AJC15" s="2"/>
      <c r="AJD15" s="2"/>
      <c r="AJE15" s="2"/>
      <c r="AJF15" s="2"/>
      <c r="AJG15" s="2"/>
      <c r="AJH15" s="2"/>
      <c r="AJI15" s="2"/>
      <c r="AJJ15" s="2"/>
      <c r="AJK15" s="2"/>
      <c r="AJL15" s="2"/>
      <c r="AJM15" s="2"/>
      <c r="AJN15" s="2"/>
      <c r="AJO15" s="2"/>
      <c r="AJP15" s="2"/>
      <c r="AJQ15" s="2"/>
      <c r="AJR15" s="2"/>
      <c r="AJS15" s="2"/>
      <c r="AJT15" s="2"/>
      <c r="AJU15" s="2"/>
      <c r="AJV15" s="2"/>
      <c r="AJW15" s="2"/>
      <c r="AJX15" s="2"/>
      <c r="AJY15" s="2"/>
      <c r="AJZ15" s="2"/>
      <c r="AKA15" s="2"/>
      <c r="AKB15" s="2"/>
      <c r="AKC15" s="2"/>
      <c r="AKD15" s="2"/>
      <c r="AKE15" s="2"/>
      <c r="AKF15" s="2"/>
      <c r="AKG15" s="2"/>
      <c r="AKH15" s="2"/>
      <c r="AKI15" s="2"/>
      <c r="AKJ15" s="2"/>
      <c r="AKK15" s="2"/>
      <c r="AKL15" s="2"/>
      <c r="AKM15" s="2"/>
      <c r="AKN15" s="2"/>
      <c r="AKO15" s="2"/>
      <c r="AKP15" s="2"/>
      <c r="AKQ15" s="2"/>
      <c r="AKR15" s="2"/>
      <c r="AKS15" s="2"/>
      <c r="AKT15" s="2"/>
      <c r="AKU15" s="2"/>
      <c r="AKV15" s="2"/>
      <c r="AKW15" s="2"/>
      <c r="AKX15" s="2"/>
      <c r="AKY15" s="2"/>
      <c r="AKZ15" s="2"/>
      <c r="ALA15" s="2"/>
      <c r="ALB15" s="2"/>
      <c r="ALC15" s="2"/>
      <c r="ALD15" s="2"/>
      <c r="ALE15" s="2"/>
      <c r="ALF15" s="2"/>
      <c r="ALG15" s="2"/>
      <c r="ALH15" s="2"/>
      <c r="ALI15" s="2"/>
      <c r="ALJ15" s="2"/>
      <c r="ALK15" s="2"/>
      <c r="ALL15" s="2"/>
      <c r="ALM15" s="2"/>
      <c r="ALN15" s="2"/>
      <c r="ALO15" s="2"/>
      <c r="ALP15" s="2"/>
      <c r="ALQ15" s="2"/>
      <c r="ALR15" s="2"/>
      <c r="ALS15" s="2"/>
      <c r="ALT15" s="2"/>
      <c r="ALU15" s="2"/>
      <c r="ALV15" s="2"/>
      <c r="ALW15" s="2"/>
      <c r="ALX15" s="2"/>
    </row>
    <row r="16" customFormat="false" ht="15" hidden="false" customHeight="true" outlineLevel="0" collapsed="false">
      <c r="A16" s="2"/>
      <c r="B16" s="22" t="s">
        <v>96</v>
      </c>
      <c r="C16" s="64" t="n">
        <f aca="false">VLOOKUP($B16,Unidades!$D$5:$N$28,6,FALSE())</f>
        <v>2253</v>
      </c>
      <c r="D16" s="64" t="n">
        <f aca="false">VLOOKUP($B16,Unidades!$D$5:$N$28,7,FALSE())</f>
        <v>726</v>
      </c>
      <c r="E16" s="64" t="n">
        <f aca="false">VLOOKUP($B16,Unidades!$D$5:$N$28,8,FALSE())</f>
        <v>290</v>
      </c>
      <c r="F16" s="64" t="n">
        <f aca="false">VLOOKUP($B16,Unidades!$D$5:$N$28,9,FALSE())</f>
        <v>1237</v>
      </c>
      <c r="G16" s="64" t="n">
        <f aca="false">D16+E16*$E$6+F16*$F$6</f>
        <v>951.2</v>
      </c>
      <c r="H16" s="65" t="n">
        <f aca="false">IF(G16&lt;750,1.5,IF(G16&lt;2000,2,3))</f>
        <v>2</v>
      </c>
      <c r="I16" s="65" t="n">
        <f aca="false">$I$6*H16</f>
        <v>2.4</v>
      </c>
      <c r="J16" s="65" t="str">
        <f aca="false">VLOOKUP($B16,Unidades!$D$5:$N$28,10,FALSE())</f>
        <v>NÃO</v>
      </c>
      <c r="K16" s="65" t="str">
        <f aca="false">VLOOKUP($B16,Unidades!$D$5:$N$28,11,FALSE())</f>
        <v>SIM</v>
      </c>
      <c r="L16" s="65" t="n">
        <f aca="false">$L$6*H16+(IF(J16="SIM",$J$6,0))</f>
        <v>2.2</v>
      </c>
      <c r="M16" s="65" t="n">
        <f aca="false">$M$6*H16+(IF(J16="SIM",$J$6,0))+(IF(K16="SIM",$K$6,0))</f>
        <v>6.2</v>
      </c>
      <c r="N16" s="65" t="n">
        <f aca="false">H16*12+I16*4+L16*2+M16</f>
        <v>44.2</v>
      </c>
      <c r="O16" s="66" t="n">
        <f aca="false">IF(K16="não", N16*(C$24+D$24),N16*(C$24+D$24)+(M16*+E$24))</f>
        <v>2752.058</v>
      </c>
      <c r="P16" s="67"/>
      <c r="Q16" s="22" t="str">
        <f aca="false">B16</f>
        <v>APS SÃO MIGUEL D OESTE</v>
      </c>
      <c r="R16" s="24" t="n">
        <f aca="false">H16*($C$24+$D$24)</f>
        <v>113</v>
      </c>
      <c r="S16" s="24" t="n">
        <f aca="false">I16*($C$24+$D$24)</f>
        <v>135.6</v>
      </c>
      <c r="T16" s="24" t="n">
        <f aca="false">L16*($C$24+$D$24)</f>
        <v>124.3</v>
      </c>
      <c r="U16" s="24" t="n">
        <f aca="false">IF(K16="não",M16*($C$24+$D$24),M16*(C$24+D$24+E$24))</f>
        <v>605.058</v>
      </c>
      <c r="V16" s="24" t="n">
        <f aca="false">VLOOKUP(Q16,'Desl. Base Chapecó'!$C$5:$S$18,13,FALSE())*($C$24+$D$24+$E$24*(VLOOKUP(Q16,'Desl. Base Chapecó'!$C$5:$S$18,17,FALSE())/12))</f>
        <v>257.673916666667</v>
      </c>
      <c r="W16" s="24" t="n">
        <f aca="false">VLOOKUP(Q16,'Desl. Base Chapecó'!$C$5:$S$19,15,FALSE())*(2+(VLOOKUP(Q16,'Desl. Base Chapecó'!$C$5:$S$19,17,FALSE())/12))</f>
        <v>0</v>
      </c>
      <c r="X16" s="24" t="n">
        <f aca="false">VLOOKUP(Q16,'Desl. Base Chapecó'!$C$5:$Q$18,14,FALSE())</f>
        <v>0</v>
      </c>
      <c r="Y16" s="24" t="n">
        <f aca="false">VLOOKUP(Q16,'Desl. Base Chapecó'!$C$5:$Q$18,13,FALSE())*'Desl. Base Chapecó'!$E$23+'Desl. Base Chapecó'!$E$24*N16/12</f>
        <v>249.285166666667</v>
      </c>
      <c r="Z16" s="24" t="n">
        <f aca="false">(H16/$AC$5)*'Equipe Técnica'!$C$13</f>
        <v>368.571160756132</v>
      </c>
      <c r="AA16" s="24" t="n">
        <f aca="false">(I16/$AC$5)*'Equipe Técnica'!$C$13</f>
        <v>442.285392907358</v>
      </c>
      <c r="AB16" s="24" t="n">
        <f aca="false">(L16/$AC$5)*'Equipe Técnica'!$C$13</f>
        <v>405.428276831745</v>
      </c>
      <c r="AC16" s="24" t="n">
        <f aca="false">(M16/$AC$5)*'Equipe Técnica'!$C$13</f>
        <v>1142.57059834401</v>
      </c>
      <c r="AD16" s="24" t="n">
        <f aca="false">R16+(($V16+$W16+$X16+$Y16)*12/19)+$Z16</f>
        <v>801.755844966659</v>
      </c>
      <c r="AE16" s="24" t="n">
        <f aca="false">S16+(($V16+$W16+$X16+$Y16)*12/19)+$AA16</f>
        <v>898.070077117885</v>
      </c>
      <c r="AF16" s="24" t="n">
        <f aca="false">T16+(($V16+$W16+$X16+$Y16)*12/19)+$AB16</f>
        <v>849.912961042272</v>
      </c>
      <c r="AG16" s="24" t="n">
        <f aca="false">U16+(($V16+$W16+$X16+$Y16)*12/19)+$AC16</f>
        <v>2067.81328255454</v>
      </c>
      <c r="AH16" s="2"/>
      <c r="AI16" s="22" t="str">
        <f aca="false">B16</f>
        <v>APS SÃO MIGUEL D OESTE</v>
      </c>
      <c r="AJ16" s="68" t="n">
        <f aca="false">VLOOKUP(AI16,Unidades!D$5:H$28,5,)</f>
        <v>0.2288</v>
      </c>
      <c r="AK16" s="48" t="n">
        <f aca="false">AD16*(1+$AJ16)</f>
        <v>985.19758229503</v>
      </c>
      <c r="AL16" s="48" t="n">
        <f aca="false">AE16*(1+$AJ16)</f>
        <v>1103.54851076246</v>
      </c>
      <c r="AM16" s="48" t="n">
        <f aca="false">AF16*(1+$AJ16)</f>
        <v>1044.37304652874</v>
      </c>
      <c r="AN16" s="48" t="n">
        <f aca="false">AG16*(1+$AJ16)</f>
        <v>2540.92896160301</v>
      </c>
      <c r="AO16" s="48" t="n">
        <f aca="false">((AK16*12)+(AL16*4)+(AM16*2)+AN16)/12</f>
        <v>1738.85334043756</v>
      </c>
      <c r="AP16" s="48" t="n">
        <f aca="false">AO16*3</f>
        <v>5216.56002131267</v>
      </c>
      <c r="AQ16" s="48" t="n">
        <f aca="false">AO16+AP16</f>
        <v>6955.41336175023</v>
      </c>
      <c r="AR16" s="69"/>
      <c r="AS16" s="69"/>
      <c r="AT16" s="69"/>
      <c r="AU16" s="69"/>
      <c r="AV16" s="69"/>
      <c r="AW16" s="69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  <c r="BZ16" s="2"/>
      <c r="CA16" s="2"/>
      <c r="CB16" s="2"/>
      <c r="CC16" s="2"/>
      <c r="CD16" s="2"/>
      <c r="CE16" s="2"/>
      <c r="CF16" s="2"/>
      <c r="CG16" s="2"/>
      <c r="CH16" s="2"/>
      <c r="CI16" s="2"/>
      <c r="CJ16" s="2"/>
      <c r="CK16" s="2"/>
      <c r="CL16" s="2"/>
      <c r="CM16" s="2"/>
      <c r="CN16" s="2"/>
      <c r="CO16" s="2"/>
      <c r="CP16" s="2"/>
      <c r="CQ16" s="2"/>
      <c r="CR16" s="2"/>
      <c r="CS16" s="2"/>
      <c r="CT16" s="2"/>
      <c r="CU16" s="2"/>
      <c r="CV16" s="2"/>
      <c r="CW16" s="2"/>
      <c r="CX16" s="2"/>
      <c r="CY16" s="2"/>
      <c r="CZ16" s="2"/>
      <c r="DA16" s="2"/>
      <c r="DB16" s="2"/>
      <c r="DC16" s="2"/>
      <c r="DD16" s="2"/>
      <c r="DE16" s="2"/>
      <c r="DF16" s="2"/>
      <c r="DG16" s="2"/>
      <c r="DH16" s="2"/>
      <c r="DI16" s="2"/>
      <c r="DJ16" s="2"/>
      <c r="DK16" s="2"/>
      <c r="DL16" s="2"/>
      <c r="DM16" s="2"/>
      <c r="DN16" s="2"/>
      <c r="DO16" s="2"/>
      <c r="DP16" s="2"/>
      <c r="DQ16" s="2"/>
      <c r="DR16" s="2"/>
      <c r="DS16" s="2"/>
      <c r="DT16" s="2"/>
      <c r="DU16" s="2"/>
      <c r="DV16" s="2"/>
      <c r="DW16" s="2"/>
      <c r="DX16" s="2"/>
      <c r="DY16" s="2"/>
      <c r="DZ16" s="2"/>
      <c r="EA16" s="2"/>
      <c r="EB16" s="2"/>
      <c r="EC16" s="2"/>
      <c r="ED16" s="2"/>
      <c r="EE16" s="2"/>
      <c r="EF16" s="2"/>
      <c r="EG16" s="2"/>
      <c r="EH16" s="2"/>
      <c r="EI16" s="2"/>
      <c r="EJ16" s="2"/>
      <c r="EK16" s="2"/>
      <c r="EL16" s="2"/>
      <c r="EM16" s="2"/>
      <c r="EN16" s="2"/>
      <c r="EO16" s="2"/>
      <c r="EP16" s="2"/>
      <c r="EQ16" s="2"/>
      <c r="ER16" s="2"/>
      <c r="ES16" s="2"/>
      <c r="ET16" s="2"/>
      <c r="EU16" s="2"/>
      <c r="EV16" s="2"/>
      <c r="EW16" s="2"/>
      <c r="EX16" s="2"/>
      <c r="EY16" s="2"/>
      <c r="EZ16" s="2"/>
      <c r="FA16" s="2"/>
      <c r="FB16" s="2"/>
      <c r="FC16" s="2"/>
      <c r="FD16" s="2"/>
      <c r="FE16" s="2"/>
      <c r="FF16" s="2"/>
      <c r="FG16" s="2"/>
      <c r="FH16" s="2"/>
      <c r="FI16" s="2"/>
      <c r="FJ16" s="2"/>
      <c r="FK16" s="2"/>
      <c r="FL16" s="2"/>
      <c r="FM16" s="2"/>
      <c r="FN16" s="2"/>
      <c r="FO16" s="2"/>
      <c r="FP16" s="2"/>
      <c r="FQ16" s="2"/>
      <c r="FR16" s="2"/>
      <c r="FS16" s="2"/>
      <c r="FT16" s="2"/>
      <c r="FU16" s="2"/>
      <c r="FV16" s="2"/>
      <c r="FW16" s="2"/>
      <c r="FX16" s="2"/>
      <c r="FY16" s="2"/>
      <c r="FZ16" s="2"/>
      <c r="GA16" s="2"/>
      <c r="GB16" s="2"/>
      <c r="GC16" s="2"/>
      <c r="GD16" s="2"/>
      <c r="GE16" s="2"/>
      <c r="GF16" s="2"/>
      <c r="GG16" s="2"/>
      <c r="GH16" s="2"/>
      <c r="GI16" s="2"/>
      <c r="GJ16" s="2"/>
      <c r="GK16" s="2"/>
      <c r="GL16" s="2"/>
      <c r="GM16" s="2"/>
      <c r="GN16" s="2"/>
      <c r="GO16" s="2"/>
      <c r="GP16" s="2"/>
      <c r="GQ16" s="2"/>
      <c r="GR16" s="2"/>
      <c r="GS16" s="2"/>
      <c r="GT16" s="2"/>
      <c r="GU16" s="2"/>
      <c r="GV16" s="2"/>
      <c r="GW16" s="2"/>
      <c r="GX16" s="2"/>
      <c r="GY16" s="2"/>
      <c r="GZ16" s="2"/>
      <c r="HA16" s="2"/>
      <c r="HB16" s="2"/>
      <c r="HC16" s="2"/>
      <c r="HD16" s="2"/>
      <c r="HE16" s="2"/>
      <c r="HF16" s="2"/>
      <c r="HG16" s="2"/>
      <c r="HH16" s="2"/>
      <c r="HI16" s="2"/>
      <c r="HJ16" s="2"/>
      <c r="HK16" s="2"/>
      <c r="HL16" s="2"/>
      <c r="HM16" s="2"/>
      <c r="HN16" s="2"/>
      <c r="HO16" s="2"/>
      <c r="HP16" s="2"/>
      <c r="HQ16" s="2"/>
      <c r="HR16" s="2"/>
      <c r="HS16" s="2"/>
      <c r="HT16" s="2"/>
      <c r="HU16" s="2"/>
      <c r="HV16" s="2"/>
      <c r="HW16" s="2"/>
      <c r="HX16" s="2"/>
      <c r="HY16" s="2"/>
      <c r="HZ16" s="2"/>
      <c r="IA16" s="2"/>
      <c r="IB16" s="2"/>
      <c r="IC16" s="2"/>
      <c r="ID16" s="2"/>
      <c r="IE16" s="2"/>
      <c r="IF16" s="2"/>
      <c r="IG16" s="2"/>
      <c r="IH16" s="2"/>
      <c r="II16" s="2"/>
      <c r="IJ16" s="2"/>
      <c r="IK16" s="2"/>
      <c r="IL16" s="2"/>
      <c r="IM16" s="2"/>
      <c r="IN16" s="2"/>
      <c r="IO16" s="2"/>
      <c r="IP16" s="2"/>
      <c r="IQ16" s="2"/>
      <c r="IR16" s="2"/>
      <c r="IS16" s="2"/>
      <c r="IT16" s="2"/>
      <c r="IU16" s="2"/>
      <c r="IV16" s="2"/>
      <c r="IW16" s="2"/>
      <c r="IX16" s="2"/>
      <c r="IY16" s="2"/>
      <c r="IZ16" s="2"/>
      <c r="JA16" s="2"/>
      <c r="JB16" s="2"/>
      <c r="JC16" s="2"/>
      <c r="JD16" s="2"/>
      <c r="JE16" s="2"/>
      <c r="JF16" s="2"/>
      <c r="JG16" s="2"/>
      <c r="JH16" s="2"/>
      <c r="JI16" s="2"/>
      <c r="JJ16" s="2"/>
      <c r="JK16" s="2"/>
      <c r="JL16" s="2"/>
      <c r="JM16" s="2"/>
      <c r="JN16" s="2"/>
      <c r="JO16" s="2"/>
      <c r="JP16" s="2"/>
      <c r="JQ16" s="2"/>
      <c r="JR16" s="2"/>
      <c r="JS16" s="2"/>
      <c r="JT16" s="2"/>
      <c r="JU16" s="2"/>
      <c r="JV16" s="2"/>
      <c r="JW16" s="2"/>
      <c r="JX16" s="2"/>
      <c r="JY16" s="2"/>
      <c r="JZ16" s="2"/>
      <c r="KA16" s="2"/>
      <c r="KB16" s="2"/>
      <c r="KC16" s="2"/>
      <c r="KD16" s="2"/>
      <c r="KE16" s="2"/>
      <c r="KF16" s="2"/>
      <c r="KG16" s="2"/>
      <c r="KH16" s="2"/>
      <c r="KI16" s="2"/>
      <c r="KJ16" s="2"/>
      <c r="KK16" s="2"/>
      <c r="KL16" s="2"/>
      <c r="KM16" s="2"/>
      <c r="KN16" s="2"/>
      <c r="KO16" s="2"/>
      <c r="KP16" s="2"/>
      <c r="KQ16" s="2"/>
      <c r="KR16" s="2"/>
      <c r="KS16" s="2"/>
      <c r="KT16" s="2"/>
      <c r="KU16" s="2"/>
      <c r="KV16" s="2"/>
      <c r="KW16" s="2"/>
      <c r="KX16" s="2"/>
      <c r="KY16" s="2"/>
      <c r="KZ16" s="2"/>
      <c r="LA16" s="2"/>
      <c r="LB16" s="2"/>
      <c r="LC16" s="2"/>
      <c r="LD16" s="2"/>
      <c r="LE16" s="2"/>
      <c r="LF16" s="2"/>
      <c r="LG16" s="2"/>
      <c r="LH16" s="2"/>
      <c r="LI16" s="2"/>
      <c r="LJ16" s="2"/>
      <c r="LK16" s="2"/>
      <c r="LL16" s="2"/>
      <c r="LM16" s="2"/>
      <c r="LN16" s="2"/>
      <c r="LO16" s="2"/>
      <c r="LP16" s="2"/>
      <c r="LQ16" s="2"/>
      <c r="LR16" s="2"/>
      <c r="LS16" s="2"/>
      <c r="LT16" s="2"/>
      <c r="LU16" s="2"/>
      <c r="LV16" s="2"/>
      <c r="LW16" s="2"/>
      <c r="LX16" s="2"/>
      <c r="LY16" s="2"/>
      <c r="LZ16" s="2"/>
      <c r="MA16" s="2"/>
      <c r="MB16" s="2"/>
      <c r="MC16" s="2"/>
      <c r="MD16" s="2"/>
      <c r="ME16" s="2"/>
      <c r="MF16" s="2"/>
      <c r="MG16" s="2"/>
      <c r="MH16" s="2"/>
      <c r="MI16" s="2"/>
      <c r="MJ16" s="2"/>
      <c r="MK16" s="2"/>
      <c r="ML16" s="2"/>
      <c r="MM16" s="2"/>
      <c r="MN16" s="2"/>
      <c r="MO16" s="2"/>
      <c r="MP16" s="2"/>
      <c r="MQ16" s="2"/>
      <c r="MR16" s="2"/>
      <c r="MS16" s="2"/>
      <c r="MT16" s="2"/>
      <c r="MU16" s="2"/>
      <c r="MV16" s="2"/>
      <c r="MW16" s="2"/>
      <c r="MX16" s="2"/>
      <c r="MY16" s="2"/>
      <c r="MZ16" s="2"/>
      <c r="NA16" s="2"/>
      <c r="NB16" s="2"/>
      <c r="NC16" s="2"/>
      <c r="ND16" s="2"/>
      <c r="NE16" s="2"/>
      <c r="NF16" s="2"/>
      <c r="NG16" s="2"/>
      <c r="NH16" s="2"/>
      <c r="NI16" s="2"/>
      <c r="NJ16" s="2"/>
      <c r="NK16" s="2"/>
      <c r="NL16" s="2"/>
      <c r="NM16" s="2"/>
      <c r="NN16" s="2"/>
      <c r="NO16" s="2"/>
      <c r="NP16" s="2"/>
      <c r="NQ16" s="2"/>
      <c r="NR16" s="2"/>
      <c r="NS16" s="2"/>
      <c r="NT16" s="2"/>
      <c r="NU16" s="2"/>
      <c r="NV16" s="2"/>
      <c r="NW16" s="2"/>
      <c r="NX16" s="2"/>
      <c r="NY16" s="2"/>
      <c r="NZ16" s="2"/>
      <c r="OA16" s="2"/>
      <c r="OB16" s="2"/>
      <c r="OC16" s="2"/>
      <c r="OD16" s="2"/>
      <c r="OE16" s="2"/>
      <c r="OF16" s="2"/>
      <c r="OG16" s="2"/>
      <c r="OH16" s="2"/>
      <c r="OI16" s="2"/>
      <c r="OJ16" s="2"/>
      <c r="OK16" s="2"/>
      <c r="OL16" s="2"/>
      <c r="OM16" s="2"/>
      <c r="ON16" s="2"/>
      <c r="OO16" s="2"/>
      <c r="OP16" s="2"/>
      <c r="OQ16" s="2"/>
      <c r="OR16" s="2"/>
      <c r="OS16" s="2"/>
      <c r="OT16" s="2"/>
      <c r="OU16" s="2"/>
      <c r="OV16" s="2"/>
      <c r="OW16" s="2"/>
      <c r="OX16" s="2"/>
      <c r="OY16" s="2"/>
      <c r="OZ16" s="2"/>
      <c r="PA16" s="2"/>
      <c r="PB16" s="2"/>
      <c r="PC16" s="2"/>
      <c r="PD16" s="2"/>
      <c r="PE16" s="2"/>
      <c r="PF16" s="2"/>
      <c r="PG16" s="2"/>
      <c r="PH16" s="2"/>
      <c r="PI16" s="2"/>
      <c r="PJ16" s="2"/>
      <c r="PK16" s="2"/>
      <c r="PL16" s="2"/>
      <c r="PM16" s="2"/>
      <c r="PN16" s="2"/>
      <c r="PO16" s="2"/>
      <c r="PP16" s="2"/>
      <c r="PQ16" s="2"/>
      <c r="PR16" s="2"/>
      <c r="PS16" s="2"/>
      <c r="PT16" s="2"/>
      <c r="PU16" s="2"/>
      <c r="PV16" s="2"/>
      <c r="PW16" s="2"/>
      <c r="PX16" s="2"/>
      <c r="PY16" s="2"/>
      <c r="PZ16" s="2"/>
      <c r="QA16" s="2"/>
      <c r="QB16" s="2"/>
      <c r="QC16" s="2"/>
      <c r="QD16" s="2"/>
      <c r="QE16" s="2"/>
      <c r="QF16" s="2"/>
      <c r="QG16" s="2"/>
      <c r="QH16" s="2"/>
      <c r="QI16" s="2"/>
      <c r="QJ16" s="2"/>
      <c r="QK16" s="2"/>
      <c r="QL16" s="2"/>
      <c r="QM16" s="2"/>
      <c r="QN16" s="2"/>
      <c r="QO16" s="2"/>
      <c r="QP16" s="2"/>
      <c r="QQ16" s="2"/>
      <c r="QR16" s="2"/>
      <c r="QS16" s="2"/>
      <c r="QT16" s="2"/>
      <c r="QU16" s="2"/>
      <c r="QV16" s="2"/>
      <c r="QW16" s="2"/>
      <c r="QX16" s="2"/>
      <c r="QY16" s="2"/>
      <c r="QZ16" s="2"/>
      <c r="RA16" s="2"/>
      <c r="RB16" s="2"/>
      <c r="RC16" s="2"/>
      <c r="RD16" s="2"/>
      <c r="RE16" s="2"/>
      <c r="RF16" s="2"/>
      <c r="RG16" s="2"/>
      <c r="RH16" s="2"/>
      <c r="RI16" s="2"/>
      <c r="RJ16" s="2"/>
      <c r="RK16" s="2"/>
      <c r="RL16" s="2"/>
      <c r="RM16" s="2"/>
      <c r="RN16" s="2"/>
      <c r="RO16" s="2"/>
      <c r="RP16" s="2"/>
      <c r="RQ16" s="2"/>
      <c r="RR16" s="2"/>
      <c r="RS16" s="2"/>
      <c r="RT16" s="2"/>
      <c r="RU16" s="2"/>
      <c r="RV16" s="2"/>
      <c r="RW16" s="2"/>
      <c r="RX16" s="2"/>
      <c r="RY16" s="2"/>
      <c r="RZ16" s="2"/>
      <c r="SA16" s="2"/>
      <c r="SB16" s="2"/>
      <c r="SC16" s="2"/>
      <c r="SD16" s="2"/>
      <c r="SE16" s="2"/>
      <c r="SF16" s="2"/>
      <c r="SG16" s="2"/>
      <c r="SH16" s="2"/>
      <c r="SI16" s="2"/>
      <c r="SJ16" s="2"/>
      <c r="SK16" s="2"/>
      <c r="SL16" s="2"/>
      <c r="SM16" s="2"/>
      <c r="SN16" s="2"/>
      <c r="SO16" s="2"/>
      <c r="SP16" s="2"/>
      <c r="SQ16" s="2"/>
      <c r="SR16" s="2"/>
      <c r="SS16" s="2"/>
      <c r="ST16" s="2"/>
      <c r="SU16" s="2"/>
      <c r="SV16" s="2"/>
      <c r="SW16" s="2"/>
      <c r="SX16" s="2"/>
      <c r="SY16" s="2"/>
      <c r="SZ16" s="2"/>
      <c r="TA16" s="2"/>
      <c r="TB16" s="2"/>
      <c r="TC16" s="2"/>
      <c r="TD16" s="2"/>
      <c r="TE16" s="2"/>
      <c r="TF16" s="2"/>
      <c r="TG16" s="2"/>
      <c r="TH16" s="2"/>
      <c r="TI16" s="2"/>
      <c r="TJ16" s="2"/>
      <c r="TK16" s="2"/>
      <c r="TL16" s="2"/>
      <c r="TM16" s="2"/>
      <c r="TN16" s="2"/>
      <c r="TO16" s="2"/>
      <c r="TP16" s="2"/>
      <c r="TQ16" s="2"/>
      <c r="TR16" s="2"/>
      <c r="TS16" s="2"/>
      <c r="TT16" s="2"/>
      <c r="TU16" s="2"/>
      <c r="TV16" s="2"/>
      <c r="TW16" s="2"/>
      <c r="TX16" s="2"/>
      <c r="TY16" s="2"/>
      <c r="TZ16" s="2"/>
      <c r="UA16" s="2"/>
      <c r="UB16" s="2"/>
      <c r="UC16" s="2"/>
      <c r="UD16" s="2"/>
      <c r="UE16" s="2"/>
      <c r="UF16" s="2"/>
      <c r="UG16" s="2"/>
      <c r="UH16" s="2"/>
      <c r="UI16" s="2"/>
      <c r="UJ16" s="2"/>
      <c r="UK16" s="2"/>
      <c r="UL16" s="2"/>
      <c r="UM16" s="2"/>
      <c r="UN16" s="2"/>
      <c r="UO16" s="2"/>
      <c r="UP16" s="2"/>
      <c r="UQ16" s="2"/>
      <c r="UR16" s="2"/>
      <c r="US16" s="2"/>
      <c r="UT16" s="2"/>
      <c r="UU16" s="2"/>
      <c r="UV16" s="2"/>
      <c r="UW16" s="2"/>
      <c r="UX16" s="2"/>
      <c r="UY16" s="2"/>
      <c r="UZ16" s="2"/>
      <c r="VA16" s="2"/>
      <c r="VB16" s="2"/>
      <c r="VC16" s="2"/>
      <c r="VD16" s="2"/>
      <c r="VE16" s="2"/>
      <c r="VF16" s="2"/>
      <c r="VG16" s="2"/>
      <c r="VH16" s="2"/>
      <c r="VI16" s="2"/>
      <c r="VJ16" s="2"/>
      <c r="VK16" s="2"/>
      <c r="VL16" s="2"/>
      <c r="VM16" s="2"/>
      <c r="VN16" s="2"/>
      <c r="VO16" s="2"/>
      <c r="VP16" s="2"/>
      <c r="VQ16" s="2"/>
      <c r="VR16" s="2"/>
      <c r="VS16" s="2"/>
      <c r="VT16" s="2"/>
      <c r="VU16" s="2"/>
      <c r="VV16" s="2"/>
      <c r="VW16" s="2"/>
      <c r="VX16" s="2"/>
      <c r="VY16" s="2"/>
      <c r="VZ16" s="2"/>
      <c r="WA16" s="2"/>
      <c r="WB16" s="2"/>
      <c r="WC16" s="2"/>
      <c r="WD16" s="2"/>
      <c r="WE16" s="2"/>
      <c r="WF16" s="2"/>
      <c r="WG16" s="2"/>
      <c r="WH16" s="2"/>
      <c r="WI16" s="2"/>
      <c r="WJ16" s="2"/>
      <c r="WK16" s="2"/>
      <c r="WL16" s="2"/>
      <c r="WM16" s="2"/>
      <c r="WN16" s="2"/>
      <c r="WO16" s="2"/>
      <c r="WP16" s="2"/>
      <c r="WQ16" s="2"/>
      <c r="WR16" s="2"/>
      <c r="WS16" s="2"/>
      <c r="WT16" s="2"/>
      <c r="WU16" s="2"/>
      <c r="WV16" s="2"/>
      <c r="WW16" s="2"/>
      <c r="WX16" s="2"/>
      <c r="WY16" s="2"/>
      <c r="WZ16" s="2"/>
      <c r="XA16" s="2"/>
      <c r="XB16" s="2"/>
      <c r="XC16" s="2"/>
      <c r="XD16" s="2"/>
      <c r="XE16" s="2"/>
      <c r="XF16" s="2"/>
      <c r="XG16" s="2"/>
      <c r="XH16" s="2"/>
      <c r="XI16" s="2"/>
      <c r="XJ16" s="2"/>
      <c r="XK16" s="2"/>
      <c r="XL16" s="2"/>
      <c r="XM16" s="2"/>
      <c r="XN16" s="2"/>
      <c r="XO16" s="2"/>
      <c r="XP16" s="2"/>
      <c r="XQ16" s="2"/>
      <c r="XR16" s="2"/>
      <c r="XS16" s="2"/>
      <c r="XT16" s="2"/>
      <c r="XU16" s="2"/>
      <c r="XV16" s="2"/>
      <c r="XW16" s="2"/>
      <c r="XX16" s="2"/>
      <c r="XY16" s="2"/>
      <c r="XZ16" s="2"/>
      <c r="YA16" s="2"/>
      <c r="YB16" s="2"/>
      <c r="YC16" s="2"/>
      <c r="YD16" s="2"/>
      <c r="YE16" s="2"/>
      <c r="YF16" s="2"/>
      <c r="YG16" s="2"/>
      <c r="YH16" s="2"/>
      <c r="YI16" s="2"/>
      <c r="YJ16" s="2"/>
      <c r="YK16" s="2"/>
      <c r="YL16" s="2"/>
      <c r="YM16" s="2"/>
      <c r="YN16" s="2"/>
      <c r="YO16" s="2"/>
      <c r="YP16" s="2"/>
      <c r="YQ16" s="2"/>
      <c r="YR16" s="2"/>
      <c r="YS16" s="2"/>
      <c r="YT16" s="2"/>
      <c r="YU16" s="2"/>
      <c r="YV16" s="2"/>
      <c r="YW16" s="2"/>
      <c r="YX16" s="2"/>
      <c r="YY16" s="2"/>
      <c r="YZ16" s="2"/>
      <c r="ZA16" s="2"/>
      <c r="ZB16" s="2"/>
      <c r="ZC16" s="2"/>
      <c r="ZD16" s="2"/>
      <c r="ZE16" s="2"/>
      <c r="ZF16" s="2"/>
      <c r="ZG16" s="2"/>
      <c r="ZH16" s="2"/>
      <c r="ZI16" s="2"/>
      <c r="ZJ16" s="2"/>
      <c r="ZK16" s="2"/>
      <c r="ZL16" s="2"/>
      <c r="ZM16" s="2"/>
      <c r="ZN16" s="2"/>
      <c r="ZO16" s="2"/>
      <c r="ZP16" s="2"/>
      <c r="ZQ16" s="2"/>
      <c r="ZR16" s="2"/>
      <c r="ZS16" s="2"/>
      <c r="ZT16" s="2"/>
      <c r="ZU16" s="2"/>
      <c r="ZV16" s="2"/>
      <c r="ZW16" s="2"/>
      <c r="ZX16" s="2"/>
      <c r="ZY16" s="2"/>
      <c r="ZZ16" s="2"/>
      <c r="AAA16" s="2"/>
      <c r="AAB16" s="2"/>
      <c r="AAC16" s="2"/>
      <c r="AAD16" s="2"/>
      <c r="AAE16" s="2"/>
      <c r="AAF16" s="2"/>
      <c r="AAG16" s="2"/>
      <c r="AAH16" s="2"/>
      <c r="AAI16" s="2"/>
      <c r="AAJ16" s="2"/>
      <c r="AAK16" s="2"/>
      <c r="AAL16" s="2"/>
      <c r="AAM16" s="2"/>
      <c r="AAN16" s="2"/>
      <c r="AAO16" s="2"/>
      <c r="AAP16" s="2"/>
      <c r="AAQ16" s="2"/>
      <c r="AAR16" s="2"/>
      <c r="AAS16" s="2"/>
      <c r="AAT16" s="2"/>
      <c r="AAU16" s="2"/>
      <c r="AAV16" s="2"/>
      <c r="AAW16" s="2"/>
      <c r="AAX16" s="2"/>
      <c r="AAY16" s="2"/>
      <c r="AAZ16" s="2"/>
      <c r="ABA16" s="2"/>
      <c r="ABB16" s="2"/>
      <c r="ABC16" s="2"/>
      <c r="ABD16" s="2"/>
      <c r="ABE16" s="2"/>
      <c r="ABF16" s="2"/>
      <c r="ABG16" s="2"/>
      <c r="ABH16" s="2"/>
      <c r="ABI16" s="2"/>
      <c r="ABJ16" s="2"/>
      <c r="ABK16" s="2"/>
      <c r="ABL16" s="2"/>
      <c r="ABM16" s="2"/>
      <c r="ABN16" s="2"/>
      <c r="ABO16" s="2"/>
      <c r="ABP16" s="2"/>
      <c r="ABQ16" s="2"/>
      <c r="ABR16" s="2"/>
      <c r="ABS16" s="2"/>
      <c r="ABT16" s="2"/>
      <c r="ABU16" s="2"/>
      <c r="ABV16" s="2"/>
      <c r="ABW16" s="2"/>
      <c r="ABX16" s="2"/>
      <c r="ABY16" s="2"/>
      <c r="ABZ16" s="2"/>
      <c r="ACA16" s="2"/>
      <c r="ACB16" s="2"/>
      <c r="ACC16" s="2"/>
      <c r="ACD16" s="2"/>
      <c r="ACE16" s="2"/>
      <c r="ACF16" s="2"/>
      <c r="ACG16" s="2"/>
      <c r="ACH16" s="2"/>
      <c r="ACI16" s="2"/>
      <c r="ACJ16" s="2"/>
      <c r="ACK16" s="2"/>
      <c r="ACL16" s="2"/>
      <c r="ACM16" s="2"/>
      <c r="ACN16" s="2"/>
      <c r="ACO16" s="2"/>
      <c r="ACP16" s="2"/>
      <c r="ACQ16" s="2"/>
      <c r="ACR16" s="2"/>
      <c r="ACS16" s="2"/>
      <c r="ACT16" s="2"/>
      <c r="ACU16" s="2"/>
      <c r="ACV16" s="2"/>
      <c r="ACW16" s="2"/>
      <c r="ACX16" s="2"/>
      <c r="ACY16" s="2"/>
      <c r="ACZ16" s="2"/>
      <c r="ADA16" s="2"/>
      <c r="ADB16" s="2"/>
      <c r="ADC16" s="2"/>
      <c r="ADD16" s="2"/>
      <c r="ADE16" s="2"/>
      <c r="ADF16" s="2"/>
      <c r="ADG16" s="2"/>
      <c r="ADH16" s="2"/>
      <c r="ADI16" s="2"/>
      <c r="ADJ16" s="2"/>
      <c r="ADK16" s="2"/>
      <c r="ADL16" s="2"/>
      <c r="ADM16" s="2"/>
      <c r="ADN16" s="2"/>
      <c r="ADO16" s="2"/>
      <c r="ADP16" s="2"/>
      <c r="ADQ16" s="2"/>
      <c r="ADR16" s="2"/>
      <c r="ADS16" s="2"/>
      <c r="ADT16" s="2"/>
      <c r="ADU16" s="2"/>
      <c r="ADV16" s="2"/>
      <c r="ADW16" s="2"/>
      <c r="ADX16" s="2"/>
      <c r="ADY16" s="2"/>
      <c r="ADZ16" s="2"/>
      <c r="AEA16" s="2"/>
      <c r="AEB16" s="2"/>
      <c r="AEC16" s="2"/>
      <c r="AED16" s="2"/>
      <c r="AEE16" s="2"/>
      <c r="AEF16" s="2"/>
      <c r="AEG16" s="2"/>
      <c r="AEH16" s="2"/>
      <c r="AEI16" s="2"/>
      <c r="AEJ16" s="2"/>
      <c r="AEK16" s="2"/>
      <c r="AEL16" s="2"/>
      <c r="AEM16" s="2"/>
      <c r="AEN16" s="2"/>
      <c r="AEO16" s="2"/>
      <c r="AEP16" s="2"/>
      <c r="AEQ16" s="2"/>
      <c r="AER16" s="2"/>
      <c r="AES16" s="2"/>
      <c r="AET16" s="2"/>
      <c r="AEU16" s="2"/>
      <c r="AEV16" s="2"/>
      <c r="AEW16" s="2"/>
      <c r="AEX16" s="2"/>
      <c r="AEY16" s="2"/>
      <c r="AEZ16" s="2"/>
      <c r="AFA16" s="2"/>
      <c r="AFB16" s="2"/>
      <c r="AFC16" s="2"/>
      <c r="AFD16" s="2"/>
      <c r="AFE16" s="2"/>
      <c r="AFF16" s="2"/>
      <c r="AFG16" s="2"/>
      <c r="AFH16" s="2"/>
      <c r="AFI16" s="2"/>
      <c r="AFJ16" s="2"/>
      <c r="AFK16" s="2"/>
      <c r="AFL16" s="2"/>
      <c r="AFM16" s="2"/>
      <c r="AFN16" s="2"/>
      <c r="AFO16" s="2"/>
      <c r="AFP16" s="2"/>
      <c r="AFQ16" s="2"/>
      <c r="AFR16" s="2"/>
      <c r="AFS16" s="2"/>
      <c r="AFT16" s="2"/>
      <c r="AFU16" s="2"/>
      <c r="AFV16" s="2"/>
      <c r="AFW16" s="2"/>
      <c r="AFX16" s="2"/>
      <c r="AFY16" s="2"/>
      <c r="AFZ16" s="2"/>
      <c r="AGA16" s="2"/>
      <c r="AGB16" s="2"/>
      <c r="AGC16" s="2"/>
      <c r="AGD16" s="2"/>
      <c r="AGE16" s="2"/>
      <c r="AGF16" s="2"/>
      <c r="AGG16" s="2"/>
      <c r="AGH16" s="2"/>
      <c r="AGI16" s="2"/>
      <c r="AGJ16" s="2"/>
      <c r="AGK16" s="2"/>
      <c r="AGL16" s="2"/>
      <c r="AGM16" s="2"/>
      <c r="AGN16" s="2"/>
      <c r="AGO16" s="2"/>
      <c r="AGP16" s="2"/>
      <c r="AGQ16" s="2"/>
      <c r="AGR16" s="2"/>
      <c r="AGS16" s="2"/>
      <c r="AGT16" s="2"/>
      <c r="AGU16" s="2"/>
      <c r="AGV16" s="2"/>
      <c r="AGW16" s="2"/>
      <c r="AGX16" s="2"/>
      <c r="AGY16" s="2"/>
      <c r="AGZ16" s="2"/>
      <c r="AHA16" s="2"/>
      <c r="AHB16" s="2"/>
      <c r="AHC16" s="2"/>
      <c r="AHD16" s="2"/>
      <c r="AHE16" s="2"/>
      <c r="AHF16" s="2"/>
      <c r="AHG16" s="2"/>
      <c r="AHH16" s="2"/>
      <c r="AHI16" s="2"/>
      <c r="AHJ16" s="2"/>
      <c r="AHK16" s="2"/>
      <c r="AHL16" s="2"/>
      <c r="AHM16" s="2"/>
      <c r="AHN16" s="2"/>
      <c r="AHO16" s="2"/>
      <c r="AHP16" s="2"/>
      <c r="AHQ16" s="2"/>
      <c r="AHR16" s="2"/>
      <c r="AHS16" s="2"/>
      <c r="AHT16" s="2"/>
      <c r="AHU16" s="2"/>
      <c r="AHV16" s="2"/>
      <c r="AHW16" s="2"/>
      <c r="AHX16" s="2"/>
      <c r="AHY16" s="2"/>
      <c r="AHZ16" s="2"/>
      <c r="AIA16" s="2"/>
      <c r="AIB16" s="2"/>
      <c r="AIC16" s="2"/>
      <c r="AID16" s="2"/>
      <c r="AIE16" s="2"/>
      <c r="AIF16" s="2"/>
      <c r="AIG16" s="2"/>
      <c r="AIH16" s="2"/>
      <c r="AII16" s="2"/>
      <c r="AIJ16" s="2"/>
      <c r="AIK16" s="2"/>
      <c r="AIL16" s="2"/>
      <c r="AIM16" s="2"/>
      <c r="AIN16" s="2"/>
      <c r="AIO16" s="2"/>
      <c r="AIP16" s="2"/>
      <c r="AIQ16" s="2"/>
      <c r="AIR16" s="2"/>
      <c r="AIS16" s="2"/>
      <c r="AIT16" s="2"/>
      <c r="AIU16" s="2"/>
      <c r="AIV16" s="2"/>
      <c r="AIW16" s="2"/>
      <c r="AIX16" s="2"/>
      <c r="AIY16" s="2"/>
      <c r="AIZ16" s="2"/>
      <c r="AJA16" s="2"/>
      <c r="AJB16" s="2"/>
      <c r="AJC16" s="2"/>
      <c r="AJD16" s="2"/>
      <c r="AJE16" s="2"/>
      <c r="AJF16" s="2"/>
      <c r="AJG16" s="2"/>
      <c r="AJH16" s="2"/>
      <c r="AJI16" s="2"/>
      <c r="AJJ16" s="2"/>
      <c r="AJK16" s="2"/>
      <c r="AJL16" s="2"/>
      <c r="AJM16" s="2"/>
      <c r="AJN16" s="2"/>
      <c r="AJO16" s="2"/>
      <c r="AJP16" s="2"/>
      <c r="AJQ16" s="2"/>
      <c r="AJR16" s="2"/>
      <c r="AJS16" s="2"/>
      <c r="AJT16" s="2"/>
      <c r="AJU16" s="2"/>
      <c r="AJV16" s="2"/>
      <c r="AJW16" s="2"/>
      <c r="AJX16" s="2"/>
      <c r="AJY16" s="2"/>
      <c r="AJZ16" s="2"/>
      <c r="AKA16" s="2"/>
      <c r="AKB16" s="2"/>
      <c r="AKC16" s="2"/>
      <c r="AKD16" s="2"/>
      <c r="AKE16" s="2"/>
      <c r="AKF16" s="2"/>
      <c r="AKG16" s="2"/>
      <c r="AKH16" s="2"/>
      <c r="AKI16" s="2"/>
      <c r="AKJ16" s="2"/>
      <c r="AKK16" s="2"/>
      <c r="AKL16" s="2"/>
      <c r="AKM16" s="2"/>
      <c r="AKN16" s="2"/>
      <c r="AKO16" s="2"/>
      <c r="AKP16" s="2"/>
      <c r="AKQ16" s="2"/>
      <c r="AKR16" s="2"/>
      <c r="AKS16" s="2"/>
      <c r="AKT16" s="2"/>
      <c r="AKU16" s="2"/>
      <c r="AKV16" s="2"/>
      <c r="AKW16" s="2"/>
      <c r="AKX16" s="2"/>
      <c r="AKY16" s="2"/>
      <c r="AKZ16" s="2"/>
      <c r="ALA16" s="2"/>
      <c r="ALB16" s="2"/>
      <c r="ALC16" s="2"/>
      <c r="ALD16" s="2"/>
      <c r="ALE16" s="2"/>
      <c r="ALF16" s="2"/>
      <c r="ALG16" s="2"/>
      <c r="ALH16" s="2"/>
      <c r="ALI16" s="2"/>
      <c r="ALJ16" s="2"/>
      <c r="ALK16" s="2"/>
      <c r="ALL16" s="2"/>
      <c r="ALM16" s="2"/>
      <c r="ALN16" s="2"/>
      <c r="ALO16" s="2"/>
      <c r="ALP16" s="2"/>
      <c r="ALQ16" s="2"/>
      <c r="ALR16" s="2"/>
      <c r="ALS16" s="2"/>
      <c r="ALT16" s="2"/>
      <c r="ALU16" s="2"/>
      <c r="ALV16" s="2"/>
      <c r="ALW16" s="2"/>
      <c r="ALX16" s="2"/>
    </row>
    <row r="17" customFormat="false" ht="15" hidden="false" customHeight="true" outlineLevel="0" collapsed="false">
      <c r="A17" s="2"/>
      <c r="B17" s="22" t="s">
        <v>97</v>
      </c>
      <c r="C17" s="64" t="n">
        <f aca="false">VLOOKUP($B17,Unidades!$D$5:$N$28,6,FALSE())</f>
        <v>1818</v>
      </c>
      <c r="D17" s="64" t="n">
        <f aca="false">VLOOKUP($B17,Unidades!$D$5:$N$28,7,FALSE())</f>
        <v>595</v>
      </c>
      <c r="E17" s="64" t="n">
        <f aca="false">VLOOKUP($B17,Unidades!$D$5:$N$28,8,FALSE())</f>
        <v>687</v>
      </c>
      <c r="F17" s="64" t="n">
        <f aca="false">VLOOKUP($B17,Unidades!$D$5:$N$28,9,FALSE())</f>
        <v>536</v>
      </c>
      <c r="G17" s="64" t="n">
        <f aca="false">D17+E17*$E$6+F17*$F$6</f>
        <v>889.05</v>
      </c>
      <c r="H17" s="65" t="n">
        <f aca="false">IF(G17&lt;750,1.5,IF(G17&lt;2000,2,3))</f>
        <v>2</v>
      </c>
      <c r="I17" s="65" t="n">
        <f aca="false">$I$6*H17</f>
        <v>2.4</v>
      </c>
      <c r="J17" s="65" t="str">
        <f aca="false">VLOOKUP($B17,Unidades!$D$5:$N$28,10,FALSE())</f>
        <v>SIM</v>
      </c>
      <c r="K17" s="65" t="str">
        <f aca="false">VLOOKUP($B17,Unidades!$D$5:$N$28,11,FALSE())</f>
        <v>SIM</v>
      </c>
      <c r="L17" s="65" t="n">
        <f aca="false">$L$6*H17+(IF(J17="SIM",$J$6,0))</f>
        <v>4.2</v>
      </c>
      <c r="M17" s="65" t="n">
        <f aca="false">$M$6*H17+(IF(J17="SIM",$J$6,0))+(IF(K17="SIM",$K$6,0))</f>
        <v>8.2</v>
      </c>
      <c r="N17" s="65" t="n">
        <f aca="false">H17*12+I17*4+L17*2+M17</f>
        <v>50.2</v>
      </c>
      <c r="O17" s="66" t="n">
        <f aca="false">IF(K17="não", N17*(C$24+D$24),N17*(C$24+D$24)+(M17*+E$24))</f>
        <v>3173.238</v>
      </c>
      <c r="P17" s="67"/>
      <c r="Q17" s="22" t="str">
        <f aca="false">B17</f>
        <v>APS VIDEIRA</v>
      </c>
      <c r="R17" s="24" t="n">
        <f aca="false">H17*($C$24+$D$24)</f>
        <v>113</v>
      </c>
      <c r="S17" s="24" t="n">
        <f aca="false">I17*($C$24+$D$24)</f>
        <v>135.6</v>
      </c>
      <c r="T17" s="24" t="n">
        <f aca="false">L17*($C$24+$D$24)</f>
        <v>237.3</v>
      </c>
      <c r="U17" s="24" t="n">
        <f aca="false">IF(K17="não",M17*($C$24+$D$24),M17*(C$24+D$24+E$24))</f>
        <v>800.238</v>
      </c>
      <c r="V17" s="24" t="n">
        <f aca="false">VLOOKUP(Q17,'Desl. Base Chapecó'!$C$5:$S$18,13,FALSE())*($C$24+$D$24+$E$24*(VLOOKUP(Q17,'Desl. Base Chapecó'!$C$5:$S$18,17,FALSE())/12))</f>
        <v>246.188451388889</v>
      </c>
      <c r="W17" s="24" t="n">
        <f aca="false">VLOOKUP(Q17,'Desl. Base Chapecó'!$C$5:$S$19,15,FALSE())*(2+(VLOOKUP(Q17,'Desl. Base Chapecó'!$C$5:$S$19,17,FALSE())/12))</f>
        <v>138.270833333333</v>
      </c>
      <c r="X17" s="24" t="n">
        <f aca="false">VLOOKUP(Q17,'Desl. Base Chapecó'!$C$5:$Q$18,14,FALSE())</f>
        <v>0</v>
      </c>
      <c r="Y17" s="24" t="n">
        <f aca="false">VLOOKUP(Q17,'Desl. Base Chapecó'!$C$5:$Q$18,13,FALSE())*'Desl. Base Chapecó'!$E$23+'Desl. Base Chapecó'!$E$24*N17/12</f>
        <v>242.789666666667</v>
      </c>
      <c r="Z17" s="24" t="n">
        <f aca="false">(H17/$AC$5)*'Equipe Técnica'!$C$13</f>
        <v>368.571160756132</v>
      </c>
      <c r="AA17" s="24" t="n">
        <f aca="false">(I17/$AC$5)*'Equipe Técnica'!$C$13</f>
        <v>442.285392907358</v>
      </c>
      <c r="AB17" s="24" t="n">
        <f aca="false">(L17/$AC$5)*'Equipe Técnica'!$C$13</f>
        <v>773.999437587877</v>
      </c>
      <c r="AC17" s="24" t="n">
        <f aca="false">(M17/$AC$5)*'Equipe Técnica'!$C$13</f>
        <v>1511.14175910014</v>
      </c>
      <c r="AD17" s="24" t="n">
        <f aca="false">R17+(($V17+$W17+$X17+$Y17)*12/19)+$Z17</f>
        <v>877.728393212272</v>
      </c>
      <c r="AE17" s="24" t="n">
        <f aca="false">S17+(($V17+$W17+$X17+$Y17)*12/19)+$AA17</f>
        <v>974.042625363499</v>
      </c>
      <c r="AF17" s="24" t="n">
        <f aca="false">T17+(($V17+$W17+$X17+$Y17)*12/19)+$AB17</f>
        <v>1407.45667004402</v>
      </c>
      <c r="AG17" s="24" t="n">
        <f aca="false">U17+(($V17+$W17+$X17+$Y17)*12/19)+$AC17</f>
        <v>2707.53699155628</v>
      </c>
      <c r="AH17" s="2"/>
      <c r="AI17" s="22" t="str">
        <f aca="false">B17</f>
        <v>APS VIDEIRA</v>
      </c>
      <c r="AJ17" s="68" t="n">
        <f aca="false">VLOOKUP(AI17,Unidades!D$5:H$28,5,)</f>
        <v>0.2223</v>
      </c>
      <c r="AK17" s="48" t="n">
        <f aca="false">AD17*(1+$AJ17)</f>
        <v>1072.84741502336</v>
      </c>
      <c r="AL17" s="48" t="n">
        <f aca="false">AE17*(1+$AJ17)</f>
        <v>1190.5723009818</v>
      </c>
      <c r="AM17" s="48" t="n">
        <f aca="false">AF17*(1+$AJ17)</f>
        <v>1720.3342877948</v>
      </c>
      <c r="AN17" s="48" t="n">
        <f aca="false">AG17*(1+$AJ17)</f>
        <v>3309.42246477924</v>
      </c>
      <c r="AO17" s="48" t="n">
        <f aca="false">((AK17*12)+(AL17*4)+(AM17*2)+AN17)/12</f>
        <v>2032.21243538137</v>
      </c>
      <c r="AP17" s="48" t="n">
        <f aca="false">AO17*3</f>
        <v>6096.6373061441</v>
      </c>
      <c r="AQ17" s="48" t="n">
        <f aca="false">AO17+AP17</f>
        <v>8128.84974152546</v>
      </c>
      <c r="AR17" s="69"/>
      <c r="AS17" s="69"/>
      <c r="AT17" s="69"/>
      <c r="AU17" s="69"/>
      <c r="AV17" s="69"/>
      <c r="AW17" s="69"/>
      <c r="AX17" s="2"/>
      <c r="AY17" s="2"/>
      <c r="AZ17" s="2"/>
      <c r="BA17" s="2"/>
      <c r="BB17" s="2"/>
      <c r="BC17" s="2"/>
      <c r="BD17" s="2"/>
      <c r="BE17" s="2"/>
      <c r="BF17" s="2"/>
      <c r="BG17" s="2"/>
      <c r="BH17" s="2"/>
      <c r="BI17" s="2"/>
      <c r="BJ17" s="2"/>
      <c r="BK17" s="2"/>
      <c r="BL17" s="2"/>
      <c r="BM17" s="2"/>
      <c r="BN17" s="2"/>
      <c r="BO17" s="2"/>
      <c r="BP17" s="2"/>
      <c r="BQ17" s="2"/>
      <c r="BR17" s="2"/>
      <c r="BS17" s="2"/>
      <c r="BT17" s="2"/>
      <c r="BU17" s="2"/>
      <c r="BV17" s="2"/>
      <c r="BW17" s="2"/>
      <c r="BX17" s="2"/>
      <c r="BY17" s="2"/>
      <c r="BZ17" s="2"/>
      <c r="CA17" s="2"/>
      <c r="CB17" s="2"/>
      <c r="CC17" s="2"/>
      <c r="CD17" s="2"/>
      <c r="CE17" s="2"/>
      <c r="CF17" s="2"/>
      <c r="CG17" s="2"/>
      <c r="CH17" s="2"/>
      <c r="CI17" s="2"/>
      <c r="CJ17" s="2"/>
      <c r="CK17" s="2"/>
      <c r="CL17" s="2"/>
      <c r="CM17" s="2"/>
      <c r="CN17" s="2"/>
      <c r="CO17" s="2"/>
      <c r="CP17" s="2"/>
      <c r="CQ17" s="2"/>
      <c r="CR17" s="2"/>
      <c r="CS17" s="2"/>
      <c r="CT17" s="2"/>
      <c r="CU17" s="2"/>
      <c r="CV17" s="2"/>
      <c r="CW17" s="2"/>
      <c r="CX17" s="2"/>
      <c r="CY17" s="2"/>
      <c r="CZ17" s="2"/>
      <c r="DA17" s="2"/>
      <c r="DB17" s="2"/>
      <c r="DC17" s="2"/>
      <c r="DD17" s="2"/>
      <c r="DE17" s="2"/>
      <c r="DF17" s="2"/>
      <c r="DG17" s="2"/>
      <c r="DH17" s="2"/>
      <c r="DI17" s="2"/>
      <c r="DJ17" s="2"/>
      <c r="DK17" s="2"/>
      <c r="DL17" s="2"/>
      <c r="DM17" s="2"/>
      <c r="DN17" s="2"/>
      <c r="DO17" s="2"/>
      <c r="DP17" s="2"/>
      <c r="DQ17" s="2"/>
      <c r="DR17" s="2"/>
      <c r="DS17" s="2"/>
      <c r="DT17" s="2"/>
      <c r="DU17" s="2"/>
      <c r="DV17" s="2"/>
      <c r="DW17" s="2"/>
      <c r="DX17" s="2"/>
      <c r="DY17" s="2"/>
      <c r="DZ17" s="2"/>
      <c r="EA17" s="2"/>
      <c r="EB17" s="2"/>
      <c r="EC17" s="2"/>
      <c r="ED17" s="2"/>
      <c r="EE17" s="2"/>
      <c r="EF17" s="2"/>
      <c r="EG17" s="2"/>
      <c r="EH17" s="2"/>
      <c r="EI17" s="2"/>
      <c r="EJ17" s="2"/>
      <c r="EK17" s="2"/>
      <c r="EL17" s="2"/>
      <c r="EM17" s="2"/>
      <c r="EN17" s="2"/>
      <c r="EO17" s="2"/>
      <c r="EP17" s="2"/>
      <c r="EQ17" s="2"/>
      <c r="ER17" s="2"/>
      <c r="ES17" s="2"/>
      <c r="ET17" s="2"/>
      <c r="EU17" s="2"/>
      <c r="EV17" s="2"/>
      <c r="EW17" s="2"/>
      <c r="EX17" s="2"/>
      <c r="EY17" s="2"/>
      <c r="EZ17" s="2"/>
      <c r="FA17" s="2"/>
      <c r="FB17" s="2"/>
      <c r="FC17" s="2"/>
      <c r="FD17" s="2"/>
      <c r="FE17" s="2"/>
      <c r="FF17" s="2"/>
      <c r="FG17" s="2"/>
      <c r="FH17" s="2"/>
      <c r="FI17" s="2"/>
      <c r="FJ17" s="2"/>
      <c r="FK17" s="2"/>
      <c r="FL17" s="2"/>
      <c r="FM17" s="2"/>
      <c r="FN17" s="2"/>
      <c r="FO17" s="2"/>
      <c r="FP17" s="2"/>
      <c r="FQ17" s="2"/>
      <c r="FR17" s="2"/>
      <c r="FS17" s="2"/>
      <c r="FT17" s="2"/>
      <c r="FU17" s="2"/>
      <c r="FV17" s="2"/>
      <c r="FW17" s="2"/>
      <c r="FX17" s="2"/>
      <c r="FY17" s="2"/>
      <c r="FZ17" s="2"/>
      <c r="GA17" s="2"/>
      <c r="GB17" s="2"/>
      <c r="GC17" s="2"/>
      <c r="GD17" s="2"/>
      <c r="GE17" s="2"/>
      <c r="GF17" s="2"/>
      <c r="GG17" s="2"/>
      <c r="GH17" s="2"/>
      <c r="GI17" s="2"/>
      <c r="GJ17" s="2"/>
      <c r="GK17" s="2"/>
      <c r="GL17" s="2"/>
      <c r="GM17" s="2"/>
      <c r="GN17" s="2"/>
      <c r="GO17" s="2"/>
      <c r="GP17" s="2"/>
      <c r="GQ17" s="2"/>
      <c r="GR17" s="2"/>
      <c r="GS17" s="2"/>
      <c r="GT17" s="2"/>
      <c r="GU17" s="2"/>
      <c r="GV17" s="2"/>
      <c r="GW17" s="2"/>
      <c r="GX17" s="2"/>
      <c r="GY17" s="2"/>
      <c r="GZ17" s="2"/>
      <c r="HA17" s="2"/>
      <c r="HB17" s="2"/>
      <c r="HC17" s="2"/>
      <c r="HD17" s="2"/>
      <c r="HE17" s="2"/>
      <c r="HF17" s="2"/>
      <c r="HG17" s="2"/>
      <c r="HH17" s="2"/>
      <c r="HI17" s="2"/>
      <c r="HJ17" s="2"/>
      <c r="HK17" s="2"/>
      <c r="HL17" s="2"/>
      <c r="HM17" s="2"/>
      <c r="HN17" s="2"/>
      <c r="HO17" s="2"/>
      <c r="HP17" s="2"/>
      <c r="HQ17" s="2"/>
      <c r="HR17" s="2"/>
      <c r="HS17" s="2"/>
      <c r="HT17" s="2"/>
      <c r="HU17" s="2"/>
      <c r="HV17" s="2"/>
      <c r="HW17" s="2"/>
      <c r="HX17" s="2"/>
      <c r="HY17" s="2"/>
      <c r="HZ17" s="2"/>
      <c r="IA17" s="2"/>
      <c r="IB17" s="2"/>
      <c r="IC17" s="2"/>
      <c r="ID17" s="2"/>
      <c r="IE17" s="2"/>
      <c r="IF17" s="2"/>
      <c r="IG17" s="2"/>
      <c r="IH17" s="2"/>
      <c r="II17" s="2"/>
      <c r="IJ17" s="2"/>
      <c r="IK17" s="2"/>
      <c r="IL17" s="2"/>
      <c r="IM17" s="2"/>
      <c r="IN17" s="2"/>
      <c r="IO17" s="2"/>
      <c r="IP17" s="2"/>
      <c r="IQ17" s="2"/>
      <c r="IR17" s="2"/>
      <c r="IS17" s="2"/>
      <c r="IT17" s="2"/>
      <c r="IU17" s="2"/>
      <c r="IV17" s="2"/>
      <c r="IW17" s="2"/>
      <c r="IX17" s="2"/>
      <c r="IY17" s="2"/>
      <c r="IZ17" s="2"/>
      <c r="JA17" s="2"/>
      <c r="JB17" s="2"/>
      <c r="JC17" s="2"/>
      <c r="JD17" s="2"/>
      <c r="JE17" s="2"/>
      <c r="JF17" s="2"/>
      <c r="JG17" s="2"/>
      <c r="JH17" s="2"/>
      <c r="JI17" s="2"/>
      <c r="JJ17" s="2"/>
      <c r="JK17" s="2"/>
      <c r="JL17" s="2"/>
      <c r="JM17" s="2"/>
      <c r="JN17" s="2"/>
      <c r="JO17" s="2"/>
      <c r="JP17" s="2"/>
      <c r="JQ17" s="2"/>
      <c r="JR17" s="2"/>
      <c r="JS17" s="2"/>
      <c r="JT17" s="2"/>
      <c r="JU17" s="2"/>
      <c r="JV17" s="2"/>
      <c r="JW17" s="2"/>
      <c r="JX17" s="2"/>
      <c r="JY17" s="2"/>
      <c r="JZ17" s="2"/>
      <c r="KA17" s="2"/>
      <c r="KB17" s="2"/>
      <c r="KC17" s="2"/>
      <c r="KD17" s="2"/>
      <c r="KE17" s="2"/>
      <c r="KF17" s="2"/>
      <c r="KG17" s="2"/>
      <c r="KH17" s="2"/>
      <c r="KI17" s="2"/>
      <c r="KJ17" s="2"/>
      <c r="KK17" s="2"/>
      <c r="KL17" s="2"/>
      <c r="KM17" s="2"/>
      <c r="KN17" s="2"/>
      <c r="KO17" s="2"/>
      <c r="KP17" s="2"/>
      <c r="KQ17" s="2"/>
      <c r="KR17" s="2"/>
      <c r="KS17" s="2"/>
      <c r="KT17" s="2"/>
      <c r="KU17" s="2"/>
      <c r="KV17" s="2"/>
      <c r="KW17" s="2"/>
      <c r="KX17" s="2"/>
      <c r="KY17" s="2"/>
      <c r="KZ17" s="2"/>
      <c r="LA17" s="2"/>
      <c r="LB17" s="2"/>
      <c r="LC17" s="2"/>
      <c r="LD17" s="2"/>
      <c r="LE17" s="2"/>
      <c r="LF17" s="2"/>
      <c r="LG17" s="2"/>
      <c r="LH17" s="2"/>
      <c r="LI17" s="2"/>
      <c r="LJ17" s="2"/>
      <c r="LK17" s="2"/>
      <c r="LL17" s="2"/>
      <c r="LM17" s="2"/>
      <c r="LN17" s="2"/>
      <c r="LO17" s="2"/>
      <c r="LP17" s="2"/>
      <c r="LQ17" s="2"/>
      <c r="LR17" s="2"/>
      <c r="LS17" s="2"/>
      <c r="LT17" s="2"/>
      <c r="LU17" s="2"/>
      <c r="LV17" s="2"/>
      <c r="LW17" s="2"/>
      <c r="LX17" s="2"/>
      <c r="LY17" s="2"/>
      <c r="LZ17" s="2"/>
      <c r="MA17" s="2"/>
      <c r="MB17" s="2"/>
      <c r="MC17" s="2"/>
      <c r="MD17" s="2"/>
      <c r="ME17" s="2"/>
      <c r="MF17" s="2"/>
      <c r="MG17" s="2"/>
      <c r="MH17" s="2"/>
      <c r="MI17" s="2"/>
      <c r="MJ17" s="2"/>
      <c r="MK17" s="2"/>
      <c r="ML17" s="2"/>
      <c r="MM17" s="2"/>
      <c r="MN17" s="2"/>
      <c r="MO17" s="2"/>
      <c r="MP17" s="2"/>
      <c r="MQ17" s="2"/>
      <c r="MR17" s="2"/>
      <c r="MS17" s="2"/>
      <c r="MT17" s="2"/>
      <c r="MU17" s="2"/>
      <c r="MV17" s="2"/>
      <c r="MW17" s="2"/>
      <c r="MX17" s="2"/>
      <c r="MY17" s="2"/>
      <c r="MZ17" s="2"/>
      <c r="NA17" s="2"/>
      <c r="NB17" s="2"/>
      <c r="NC17" s="2"/>
      <c r="ND17" s="2"/>
      <c r="NE17" s="2"/>
      <c r="NF17" s="2"/>
      <c r="NG17" s="2"/>
      <c r="NH17" s="2"/>
      <c r="NI17" s="2"/>
      <c r="NJ17" s="2"/>
      <c r="NK17" s="2"/>
      <c r="NL17" s="2"/>
      <c r="NM17" s="2"/>
      <c r="NN17" s="2"/>
      <c r="NO17" s="2"/>
      <c r="NP17" s="2"/>
      <c r="NQ17" s="2"/>
      <c r="NR17" s="2"/>
      <c r="NS17" s="2"/>
      <c r="NT17" s="2"/>
      <c r="NU17" s="2"/>
      <c r="NV17" s="2"/>
      <c r="NW17" s="2"/>
      <c r="NX17" s="2"/>
      <c r="NY17" s="2"/>
      <c r="NZ17" s="2"/>
      <c r="OA17" s="2"/>
      <c r="OB17" s="2"/>
      <c r="OC17" s="2"/>
      <c r="OD17" s="2"/>
      <c r="OE17" s="2"/>
      <c r="OF17" s="2"/>
      <c r="OG17" s="2"/>
      <c r="OH17" s="2"/>
      <c r="OI17" s="2"/>
      <c r="OJ17" s="2"/>
      <c r="OK17" s="2"/>
      <c r="OL17" s="2"/>
      <c r="OM17" s="2"/>
      <c r="ON17" s="2"/>
      <c r="OO17" s="2"/>
      <c r="OP17" s="2"/>
      <c r="OQ17" s="2"/>
      <c r="OR17" s="2"/>
      <c r="OS17" s="2"/>
      <c r="OT17" s="2"/>
      <c r="OU17" s="2"/>
      <c r="OV17" s="2"/>
      <c r="OW17" s="2"/>
      <c r="OX17" s="2"/>
      <c r="OY17" s="2"/>
      <c r="OZ17" s="2"/>
      <c r="PA17" s="2"/>
      <c r="PB17" s="2"/>
      <c r="PC17" s="2"/>
      <c r="PD17" s="2"/>
      <c r="PE17" s="2"/>
      <c r="PF17" s="2"/>
      <c r="PG17" s="2"/>
      <c r="PH17" s="2"/>
      <c r="PI17" s="2"/>
      <c r="PJ17" s="2"/>
      <c r="PK17" s="2"/>
      <c r="PL17" s="2"/>
      <c r="PM17" s="2"/>
      <c r="PN17" s="2"/>
      <c r="PO17" s="2"/>
      <c r="PP17" s="2"/>
      <c r="PQ17" s="2"/>
      <c r="PR17" s="2"/>
      <c r="PS17" s="2"/>
      <c r="PT17" s="2"/>
      <c r="PU17" s="2"/>
      <c r="PV17" s="2"/>
      <c r="PW17" s="2"/>
      <c r="PX17" s="2"/>
      <c r="PY17" s="2"/>
      <c r="PZ17" s="2"/>
      <c r="QA17" s="2"/>
      <c r="QB17" s="2"/>
      <c r="QC17" s="2"/>
      <c r="QD17" s="2"/>
      <c r="QE17" s="2"/>
      <c r="QF17" s="2"/>
      <c r="QG17" s="2"/>
      <c r="QH17" s="2"/>
      <c r="QI17" s="2"/>
      <c r="QJ17" s="2"/>
      <c r="QK17" s="2"/>
      <c r="QL17" s="2"/>
      <c r="QM17" s="2"/>
      <c r="QN17" s="2"/>
      <c r="QO17" s="2"/>
      <c r="QP17" s="2"/>
      <c r="QQ17" s="2"/>
      <c r="QR17" s="2"/>
      <c r="QS17" s="2"/>
      <c r="QT17" s="2"/>
      <c r="QU17" s="2"/>
      <c r="QV17" s="2"/>
      <c r="QW17" s="2"/>
      <c r="QX17" s="2"/>
      <c r="QY17" s="2"/>
      <c r="QZ17" s="2"/>
      <c r="RA17" s="2"/>
      <c r="RB17" s="2"/>
      <c r="RC17" s="2"/>
      <c r="RD17" s="2"/>
      <c r="RE17" s="2"/>
      <c r="RF17" s="2"/>
      <c r="RG17" s="2"/>
      <c r="RH17" s="2"/>
      <c r="RI17" s="2"/>
      <c r="RJ17" s="2"/>
      <c r="RK17" s="2"/>
      <c r="RL17" s="2"/>
      <c r="RM17" s="2"/>
      <c r="RN17" s="2"/>
      <c r="RO17" s="2"/>
      <c r="RP17" s="2"/>
      <c r="RQ17" s="2"/>
      <c r="RR17" s="2"/>
      <c r="RS17" s="2"/>
      <c r="RT17" s="2"/>
      <c r="RU17" s="2"/>
      <c r="RV17" s="2"/>
      <c r="RW17" s="2"/>
      <c r="RX17" s="2"/>
      <c r="RY17" s="2"/>
      <c r="RZ17" s="2"/>
      <c r="SA17" s="2"/>
      <c r="SB17" s="2"/>
      <c r="SC17" s="2"/>
      <c r="SD17" s="2"/>
      <c r="SE17" s="2"/>
      <c r="SF17" s="2"/>
      <c r="SG17" s="2"/>
      <c r="SH17" s="2"/>
      <c r="SI17" s="2"/>
      <c r="SJ17" s="2"/>
      <c r="SK17" s="2"/>
      <c r="SL17" s="2"/>
      <c r="SM17" s="2"/>
      <c r="SN17" s="2"/>
      <c r="SO17" s="2"/>
      <c r="SP17" s="2"/>
      <c r="SQ17" s="2"/>
      <c r="SR17" s="2"/>
      <c r="SS17" s="2"/>
      <c r="ST17" s="2"/>
      <c r="SU17" s="2"/>
      <c r="SV17" s="2"/>
      <c r="SW17" s="2"/>
      <c r="SX17" s="2"/>
      <c r="SY17" s="2"/>
      <c r="SZ17" s="2"/>
      <c r="TA17" s="2"/>
      <c r="TB17" s="2"/>
      <c r="TC17" s="2"/>
      <c r="TD17" s="2"/>
      <c r="TE17" s="2"/>
      <c r="TF17" s="2"/>
      <c r="TG17" s="2"/>
      <c r="TH17" s="2"/>
      <c r="TI17" s="2"/>
      <c r="TJ17" s="2"/>
      <c r="TK17" s="2"/>
      <c r="TL17" s="2"/>
      <c r="TM17" s="2"/>
      <c r="TN17" s="2"/>
      <c r="TO17" s="2"/>
      <c r="TP17" s="2"/>
      <c r="TQ17" s="2"/>
      <c r="TR17" s="2"/>
      <c r="TS17" s="2"/>
      <c r="TT17" s="2"/>
      <c r="TU17" s="2"/>
      <c r="TV17" s="2"/>
      <c r="TW17" s="2"/>
      <c r="TX17" s="2"/>
      <c r="TY17" s="2"/>
      <c r="TZ17" s="2"/>
      <c r="UA17" s="2"/>
      <c r="UB17" s="2"/>
      <c r="UC17" s="2"/>
      <c r="UD17" s="2"/>
      <c r="UE17" s="2"/>
      <c r="UF17" s="2"/>
      <c r="UG17" s="2"/>
      <c r="UH17" s="2"/>
      <c r="UI17" s="2"/>
      <c r="UJ17" s="2"/>
      <c r="UK17" s="2"/>
      <c r="UL17" s="2"/>
      <c r="UM17" s="2"/>
      <c r="UN17" s="2"/>
      <c r="UO17" s="2"/>
      <c r="UP17" s="2"/>
      <c r="UQ17" s="2"/>
      <c r="UR17" s="2"/>
      <c r="US17" s="2"/>
      <c r="UT17" s="2"/>
      <c r="UU17" s="2"/>
      <c r="UV17" s="2"/>
      <c r="UW17" s="2"/>
      <c r="UX17" s="2"/>
      <c r="UY17" s="2"/>
      <c r="UZ17" s="2"/>
      <c r="VA17" s="2"/>
      <c r="VB17" s="2"/>
      <c r="VC17" s="2"/>
      <c r="VD17" s="2"/>
      <c r="VE17" s="2"/>
      <c r="VF17" s="2"/>
      <c r="VG17" s="2"/>
      <c r="VH17" s="2"/>
      <c r="VI17" s="2"/>
      <c r="VJ17" s="2"/>
      <c r="VK17" s="2"/>
      <c r="VL17" s="2"/>
      <c r="VM17" s="2"/>
      <c r="VN17" s="2"/>
      <c r="VO17" s="2"/>
      <c r="VP17" s="2"/>
      <c r="VQ17" s="2"/>
      <c r="VR17" s="2"/>
      <c r="VS17" s="2"/>
      <c r="VT17" s="2"/>
      <c r="VU17" s="2"/>
      <c r="VV17" s="2"/>
      <c r="VW17" s="2"/>
      <c r="VX17" s="2"/>
      <c r="VY17" s="2"/>
      <c r="VZ17" s="2"/>
      <c r="WA17" s="2"/>
      <c r="WB17" s="2"/>
      <c r="WC17" s="2"/>
      <c r="WD17" s="2"/>
      <c r="WE17" s="2"/>
      <c r="WF17" s="2"/>
      <c r="WG17" s="2"/>
      <c r="WH17" s="2"/>
      <c r="WI17" s="2"/>
      <c r="WJ17" s="2"/>
      <c r="WK17" s="2"/>
      <c r="WL17" s="2"/>
      <c r="WM17" s="2"/>
      <c r="WN17" s="2"/>
      <c r="WO17" s="2"/>
      <c r="WP17" s="2"/>
      <c r="WQ17" s="2"/>
      <c r="WR17" s="2"/>
      <c r="WS17" s="2"/>
      <c r="WT17" s="2"/>
      <c r="WU17" s="2"/>
      <c r="WV17" s="2"/>
      <c r="WW17" s="2"/>
      <c r="WX17" s="2"/>
      <c r="WY17" s="2"/>
      <c r="WZ17" s="2"/>
      <c r="XA17" s="2"/>
      <c r="XB17" s="2"/>
      <c r="XC17" s="2"/>
      <c r="XD17" s="2"/>
      <c r="XE17" s="2"/>
      <c r="XF17" s="2"/>
      <c r="XG17" s="2"/>
      <c r="XH17" s="2"/>
      <c r="XI17" s="2"/>
      <c r="XJ17" s="2"/>
      <c r="XK17" s="2"/>
      <c r="XL17" s="2"/>
      <c r="XM17" s="2"/>
      <c r="XN17" s="2"/>
      <c r="XO17" s="2"/>
      <c r="XP17" s="2"/>
      <c r="XQ17" s="2"/>
      <c r="XR17" s="2"/>
      <c r="XS17" s="2"/>
      <c r="XT17" s="2"/>
      <c r="XU17" s="2"/>
      <c r="XV17" s="2"/>
      <c r="XW17" s="2"/>
      <c r="XX17" s="2"/>
      <c r="XY17" s="2"/>
      <c r="XZ17" s="2"/>
      <c r="YA17" s="2"/>
      <c r="YB17" s="2"/>
      <c r="YC17" s="2"/>
      <c r="YD17" s="2"/>
      <c r="YE17" s="2"/>
      <c r="YF17" s="2"/>
      <c r="YG17" s="2"/>
      <c r="YH17" s="2"/>
      <c r="YI17" s="2"/>
      <c r="YJ17" s="2"/>
      <c r="YK17" s="2"/>
      <c r="YL17" s="2"/>
      <c r="YM17" s="2"/>
      <c r="YN17" s="2"/>
      <c r="YO17" s="2"/>
      <c r="YP17" s="2"/>
      <c r="YQ17" s="2"/>
      <c r="YR17" s="2"/>
      <c r="YS17" s="2"/>
      <c r="YT17" s="2"/>
      <c r="YU17" s="2"/>
      <c r="YV17" s="2"/>
      <c r="YW17" s="2"/>
      <c r="YX17" s="2"/>
      <c r="YY17" s="2"/>
      <c r="YZ17" s="2"/>
      <c r="ZA17" s="2"/>
      <c r="ZB17" s="2"/>
      <c r="ZC17" s="2"/>
      <c r="ZD17" s="2"/>
      <c r="ZE17" s="2"/>
      <c r="ZF17" s="2"/>
      <c r="ZG17" s="2"/>
      <c r="ZH17" s="2"/>
      <c r="ZI17" s="2"/>
      <c r="ZJ17" s="2"/>
      <c r="ZK17" s="2"/>
      <c r="ZL17" s="2"/>
      <c r="ZM17" s="2"/>
      <c r="ZN17" s="2"/>
      <c r="ZO17" s="2"/>
      <c r="ZP17" s="2"/>
      <c r="ZQ17" s="2"/>
      <c r="ZR17" s="2"/>
      <c r="ZS17" s="2"/>
      <c r="ZT17" s="2"/>
      <c r="ZU17" s="2"/>
      <c r="ZV17" s="2"/>
      <c r="ZW17" s="2"/>
      <c r="ZX17" s="2"/>
      <c r="ZY17" s="2"/>
      <c r="ZZ17" s="2"/>
      <c r="AAA17" s="2"/>
      <c r="AAB17" s="2"/>
      <c r="AAC17" s="2"/>
      <c r="AAD17" s="2"/>
      <c r="AAE17" s="2"/>
      <c r="AAF17" s="2"/>
      <c r="AAG17" s="2"/>
      <c r="AAH17" s="2"/>
      <c r="AAI17" s="2"/>
      <c r="AAJ17" s="2"/>
      <c r="AAK17" s="2"/>
      <c r="AAL17" s="2"/>
      <c r="AAM17" s="2"/>
      <c r="AAN17" s="2"/>
      <c r="AAO17" s="2"/>
      <c r="AAP17" s="2"/>
      <c r="AAQ17" s="2"/>
      <c r="AAR17" s="2"/>
      <c r="AAS17" s="2"/>
      <c r="AAT17" s="2"/>
      <c r="AAU17" s="2"/>
      <c r="AAV17" s="2"/>
      <c r="AAW17" s="2"/>
      <c r="AAX17" s="2"/>
      <c r="AAY17" s="2"/>
      <c r="AAZ17" s="2"/>
      <c r="ABA17" s="2"/>
      <c r="ABB17" s="2"/>
      <c r="ABC17" s="2"/>
      <c r="ABD17" s="2"/>
      <c r="ABE17" s="2"/>
      <c r="ABF17" s="2"/>
      <c r="ABG17" s="2"/>
      <c r="ABH17" s="2"/>
      <c r="ABI17" s="2"/>
      <c r="ABJ17" s="2"/>
      <c r="ABK17" s="2"/>
      <c r="ABL17" s="2"/>
      <c r="ABM17" s="2"/>
      <c r="ABN17" s="2"/>
      <c r="ABO17" s="2"/>
      <c r="ABP17" s="2"/>
      <c r="ABQ17" s="2"/>
      <c r="ABR17" s="2"/>
      <c r="ABS17" s="2"/>
      <c r="ABT17" s="2"/>
      <c r="ABU17" s="2"/>
      <c r="ABV17" s="2"/>
      <c r="ABW17" s="2"/>
      <c r="ABX17" s="2"/>
      <c r="ABY17" s="2"/>
      <c r="ABZ17" s="2"/>
      <c r="ACA17" s="2"/>
      <c r="ACB17" s="2"/>
      <c r="ACC17" s="2"/>
      <c r="ACD17" s="2"/>
      <c r="ACE17" s="2"/>
      <c r="ACF17" s="2"/>
      <c r="ACG17" s="2"/>
      <c r="ACH17" s="2"/>
      <c r="ACI17" s="2"/>
      <c r="ACJ17" s="2"/>
      <c r="ACK17" s="2"/>
      <c r="ACL17" s="2"/>
      <c r="ACM17" s="2"/>
      <c r="ACN17" s="2"/>
      <c r="ACO17" s="2"/>
      <c r="ACP17" s="2"/>
      <c r="ACQ17" s="2"/>
      <c r="ACR17" s="2"/>
      <c r="ACS17" s="2"/>
      <c r="ACT17" s="2"/>
      <c r="ACU17" s="2"/>
      <c r="ACV17" s="2"/>
      <c r="ACW17" s="2"/>
      <c r="ACX17" s="2"/>
      <c r="ACY17" s="2"/>
      <c r="ACZ17" s="2"/>
      <c r="ADA17" s="2"/>
      <c r="ADB17" s="2"/>
      <c r="ADC17" s="2"/>
      <c r="ADD17" s="2"/>
      <c r="ADE17" s="2"/>
      <c r="ADF17" s="2"/>
      <c r="ADG17" s="2"/>
      <c r="ADH17" s="2"/>
      <c r="ADI17" s="2"/>
      <c r="ADJ17" s="2"/>
      <c r="ADK17" s="2"/>
      <c r="ADL17" s="2"/>
      <c r="ADM17" s="2"/>
      <c r="ADN17" s="2"/>
      <c r="ADO17" s="2"/>
      <c r="ADP17" s="2"/>
      <c r="ADQ17" s="2"/>
      <c r="ADR17" s="2"/>
      <c r="ADS17" s="2"/>
      <c r="ADT17" s="2"/>
      <c r="ADU17" s="2"/>
      <c r="ADV17" s="2"/>
      <c r="ADW17" s="2"/>
      <c r="ADX17" s="2"/>
      <c r="ADY17" s="2"/>
      <c r="ADZ17" s="2"/>
      <c r="AEA17" s="2"/>
      <c r="AEB17" s="2"/>
      <c r="AEC17" s="2"/>
      <c r="AED17" s="2"/>
      <c r="AEE17" s="2"/>
      <c r="AEF17" s="2"/>
      <c r="AEG17" s="2"/>
      <c r="AEH17" s="2"/>
      <c r="AEI17" s="2"/>
      <c r="AEJ17" s="2"/>
      <c r="AEK17" s="2"/>
      <c r="AEL17" s="2"/>
      <c r="AEM17" s="2"/>
      <c r="AEN17" s="2"/>
      <c r="AEO17" s="2"/>
      <c r="AEP17" s="2"/>
      <c r="AEQ17" s="2"/>
      <c r="AER17" s="2"/>
      <c r="AES17" s="2"/>
      <c r="AET17" s="2"/>
      <c r="AEU17" s="2"/>
      <c r="AEV17" s="2"/>
      <c r="AEW17" s="2"/>
      <c r="AEX17" s="2"/>
      <c r="AEY17" s="2"/>
      <c r="AEZ17" s="2"/>
      <c r="AFA17" s="2"/>
      <c r="AFB17" s="2"/>
      <c r="AFC17" s="2"/>
      <c r="AFD17" s="2"/>
      <c r="AFE17" s="2"/>
      <c r="AFF17" s="2"/>
      <c r="AFG17" s="2"/>
      <c r="AFH17" s="2"/>
      <c r="AFI17" s="2"/>
      <c r="AFJ17" s="2"/>
      <c r="AFK17" s="2"/>
      <c r="AFL17" s="2"/>
      <c r="AFM17" s="2"/>
      <c r="AFN17" s="2"/>
      <c r="AFO17" s="2"/>
      <c r="AFP17" s="2"/>
      <c r="AFQ17" s="2"/>
      <c r="AFR17" s="2"/>
      <c r="AFS17" s="2"/>
      <c r="AFT17" s="2"/>
      <c r="AFU17" s="2"/>
      <c r="AFV17" s="2"/>
      <c r="AFW17" s="2"/>
      <c r="AFX17" s="2"/>
      <c r="AFY17" s="2"/>
      <c r="AFZ17" s="2"/>
      <c r="AGA17" s="2"/>
      <c r="AGB17" s="2"/>
      <c r="AGC17" s="2"/>
      <c r="AGD17" s="2"/>
      <c r="AGE17" s="2"/>
      <c r="AGF17" s="2"/>
      <c r="AGG17" s="2"/>
      <c r="AGH17" s="2"/>
      <c r="AGI17" s="2"/>
      <c r="AGJ17" s="2"/>
      <c r="AGK17" s="2"/>
      <c r="AGL17" s="2"/>
      <c r="AGM17" s="2"/>
      <c r="AGN17" s="2"/>
      <c r="AGO17" s="2"/>
      <c r="AGP17" s="2"/>
      <c r="AGQ17" s="2"/>
      <c r="AGR17" s="2"/>
      <c r="AGS17" s="2"/>
      <c r="AGT17" s="2"/>
      <c r="AGU17" s="2"/>
      <c r="AGV17" s="2"/>
      <c r="AGW17" s="2"/>
      <c r="AGX17" s="2"/>
      <c r="AGY17" s="2"/>
      <c r="AGZ17" s="2"/>
      <c r="AHA17" s="2"/>
      <c r="AHB17" s="2"/>
      <c r="AHC17" s="2"/>
      <c r="AHD17" s="2"/>
      <c r="AHE17" s="2"/>
      <c r="AHF17" s="2"/>
      <c r="AHG17" s="2"/>
      <c r="AHH17" s="2"/>
      <c r="AHI17" s="2"/>
      <c r="AHJ17" s="2"/>
      <c r="AHK17" s="2"/>
      <c r="AHL17" s="2"/>
      <c r="AHM17" s="2"/>
      <c r="AHN17" s="2"/>
      <c r="AHO17" s="2"/>
      <c r="AHP17" s="2"/>
      <c r="AHQ17" s="2"/>
      <c r="AHR17" s="2"/>
      <c r="AHS17" s="2"/>
      <c r="AHT17" s="2"/>
      <c r="AHU17" s="2"/>
      <c r="AHV17" s="2"/>
      <c r="AHW17" s="2"/>
      <c r="AHX17" s="2"/>
      <c r="AHY17" s="2"/>
      <c r="AHZ17" s="2"/>
      <c r="AIA17" s="2"/>
      <c r="AIB17" s="2"/>
      <c r="AIC17" s="2"/>
      <c r="AID17" s="2"/>
      <c r="AIE17" s="2"/>
      <c r="AIF17" s="2"/>
      <c r="AIG17" s="2"/>
      <c r="AIH17" s="2"/>
      <c r="AII17" s="2"/>
      <c r="AIJ17" s="2"/>
      <c r="AIK17" s="2"/>
      <c r="AIL17" s="2"/>
      <c r="AIM17" s="2"/>
      <c r="AIN17" s="2"/>
      <c r="AIO17" s="2"/>
      <c r="AIP17" s="2"/>
      <c r="AIQ17" s="2"/>
      <c r="AIR17" s="2"/>
      <c r="AIS17" s="2"/>
      <c r="AIT17" s="2"/>
      <c r="AIU17" s="2"/>
      <c r="AIV17" s="2"/>
      <c r="AIW17" s="2"/>
      <c r="AIX17" s="2"/>
      <c r="AIY17" s="2"/>
      <c r="AIZ17" s="2"/>
      <c r="AJA17" s="2"/>
      <c r="AJB17" s="2"/>
      <c r="AJC17" s="2"/>
      <c r="AJD17" s="2"/>
      <c r="AJE17" s="2"/>
      <c r="AJF17" s="2"/>
      <c r="AJG17" s="2"/>
      <c r="AJH17" s="2"/>
      <c r="AJI17" s="2"/>
      <c r="AJJ17" s="2"/>
      <c r="AJK17" s="2"/>
      <c r="AJL17" s="2"/>
      <c r="AJM17" s="2"/>
      <c r="AJN17" s="2"/>
      <c r="AJO17" s="2"/>
      <c r="AJP17" s="2"/>
      <c r="AJQ17" s="2"/>
      <c r="AJR17" s="2"/>
      <c r="AJS17" s="2"/>
      <c r="AJT17" s="2"/>
      <c r="AJU17" s="2"/>
      <c r="AJV17" s="2"/>
      <c r="AJW17" s="2"/>
      <c r="AJX17" s="2"/>
      <c r="AJY17" s="2"/>
      <c r="AJZ17" s="2"/>
      <c r="AKA17" s="2"/>
      <c r="AKB17" s="2"/>
      <c r="AKC17" s="2"/>
      <c r="AKD17" s="2"/>
      <c r="AKE17" s="2"/>
      <c r="AKF17" s="2"/>
      <c r="AKG17" s="2"/>
      <c r="AKH17" s="2"/>
      <c r="AKI17" s="2"/>
      <c r="AKJ17" s="2"/>
      <c r="AKK17" s="2"/>
      <c r="AKL17" s="2"/>
      <c r="AKM17" s="2"/>
      <c r="AKN17" s="2"/>
      <c r="AKO17" s="2"/>
      <c r="AKP17" s="2"/>
      <c r="AKQ17" s="2"/>
      <c r="AKR17" s="2"/>
      <c r="AKS17" s="2"/>
      <c r="AKT17" s="2"/>
      <c r="AKU17" s="2"/>
      <c r="AKV17" s="2"/>
      <c r="AKW17" s="2"/>
      <c r="AKX17" s="2"/>
      <c r="AKY17" s="2"/>
      <c r="AKZ17" s="2"/>
      <c r="ALA17" s="2"/>
      <c r="ALB17" s="2"/>
      <c r="ALC17" s="2"/>
      <c r="ALD17" s="2"/>
      <c r="ALE17" s="2"/>
      <c r="ALF17" s="2"/>
      <c r="ALG17" s="2"/>
      <c r="ALH17" s="2"/>
      <c r="ALI17" s="2"/>
      <c r="ALJ17" s="2"/>
      <c r="ALK17" s="2"/>
      <c r="ALL17" s="2"/>
      <c r="ALM17" s="2"/>
      <c r="ALN17" s="2"/>
      <c r="ALO17" s="2"/>
      <c r="ALP17" s="2"/>
      <c r="ALQ17" s="2"/>
      <c r="ALR17" s="2"/>
      <c r="ALS17" s="2"/>
      <c r="ALT17" s="2"/>
      <c r="ALU17" s="2"/>
      <c r="ALV17" s="2"/>
      <c r="ALW17" s="2"/>
      <c r="ALX17" s="2"/>
    </row>
    <row r="18" customFormat="false" ht="15" hidden="false" customHeight="true" outlineLevel="0" collapsed="false">
      <c r="A18" s="2"/>
      <c r="B18" s="22" t="s">
        <v>98</v>
      </c>
      <c r="C18" s="64" t="n">
        <f aca="false">VLOOKUP($B18,Unidades!$D$5:$N$28,6,FALSE())</f>
        <v>1476</v>
      </c>
      <c r="D18" s="64" t="n">
        <f aca="false">VLOOKUP($B18,Unidades!$D$5:$N$28,7,FALSE())</f>
        <v>714</v>
      </c>
      <c r="E18" s="64" t="n">
        <f aca="false">VLOOKUP($B18,Unidades!$D$5:$N$28,8,FALSE())</f>
        <v>65</v>
      </c>
      <c r="F18" s="64" t="n">
        <f aca="false">VLOOKUP($B18,Unidades!$D$5:$N$28,9,FALSE())</f>
        <v>697</v>
      </c>
      <c r="G18" s="64" t="n">
        <f aca="false">D18+E18*$E$6+F18*$F$6</f>
        <v>806.45</v>
      </c>
      <c r="H18" s="65" t="n">
        <f aca="false">IF(G18&lt;750,1.5,IF(G18&lt;2000,2,3))</f>
        <v>2</v>
      </c>
      <c r="I18" s="65" t="n">
        <f aca="false">$I$6*H18</f>
        <v>2.4</v>
      </c>
      <c r="J18" s="65" t="str">
        <f aca="false">VLOOKUP($B18,Unidades!$D$5:$N$28,10,FALSE())</f>
        <v>SIM</v>
      </c>
      <c r="K18" s="65" t="str">
        <f aca="false">VLOOKUP($B18,Unidades!$D$5:$N$28,11,FALSE())</f>
        <v>SIM</v>
      </c>
      <c r="L18" s="65" t="n">
        <f aca="false">$L$6*H18+(IF(J18="SIM",$J$6,0))</f>
        <v>4.2</v>
      </c>
      <c r="M18" s="65" t="n">
        <f aca="false">$M$6*H18+(IF(J18="SIM",$J$6,0))+(IF(K18="SIM",$K$6,0))</f>
        <v>8.2</v>
      </c>
      <c r="N18" s="65" t="n">
        <f aca="false">H18*12+I18*4+L18*2+M18</f>
        <v>50.2</v>
      </c>
      <c r="O18" s="66" t="n">
        <f aca="false">IF(K18="não", N18*(C$24+D$24),N18*(C$24+D$24)+(M18*+E$24))</f>
        <v>3173.238</v>
      </c>
      <c r="P18" s="67"/>
      <c r="Q18" s="22" t="str">
        <f aca="false">B18</f>
        <v>APS XANXERÊ</v>
      </c>
      <c r="R18" s="24" t="n">
        <f aca="false">H18*($C$24+$D$24)</f>
        <v>113</v>
      </c>
      <c r="S18" s="24" t="n">
        <f aca="false">I18*($C$24+$D$24)</f>
        <v>135.6</v>
      </c>
      <c r="T18" s="24" t="n">
        <f aca="false">L18*($C$24+$D$24)</f>
        <v>237.3</v>
      </c>
      <c r="U18" s="24" t="n">
        <f aca="false">IF(K18="não",M18*($C$24+$D$24),M18*(C$24+D$24+E$24))</f>
        <v>800.238</v>
      </c>
      <c r="V18" s="24" t="n">
        <f aca="false">VLOOKUP(Q18,'Desl. Base Chapecó'!$C$5:$S$18,13,FALSE())*($C$24+$D$24+$E$24*(VLOOKUP(Q18,'Desl. Base Chapecó'!$C$5:$S$18,17,FALSE())/12))</f>
        <v>54.9304861111111</v>
      </c>
      <c r="W18" s="24" t="n">
        <f aca="false">VLOOKUP(Q18,'Desl. Base Chapecó'!$C$5:$S$19,15,FALSE())*(2+(VLOOKUP(Q18,'Desl. Base Chapecó'!$C$5:$S$19,17,FALSE())/12))</f>
        <v>0</v>
      </c>
      <c r="X18" s="24" t="n">
        <f aca="false">VLOOKUP(Q18,'Desl. Base Chapecó'!$C$5:$Q$18,14,FALSE())</f>
        <v>0</v>
      </c>
      <c r="Y18" s="24" t="n">
        <f aca="false">VLOOKUP(Q18,'Desl. Base Chapecó'!$C$5:$Q$18,13,FALSE())*'Desl. Base Chapecó'!$E$23+'Desl. Base Chapecó'!$E$24*N18/12</f>
        <v>76.7591666666667</v>
      </c>
      <c r="Z18" s="24" t="n">
        <f aca="false">(H18/$AC$5)*'Equipe Técnica'!$C$13</f>
        <v>368.571160756132</v>
      </c>
      <c r="AA18" s="24" t="n">
        <f aca="false">(I18/$AC$5)*'Equipe Técnica'!$C$13</f>
        <v>442.285392907358</v>
      </c>
      <c r="AB18" s="24" t="n">
        <f aca="false">(L18/$AC$5)*'Equipe Técnica'!$C$13</f>
        <v>773.999437587877</v>
      </c>
      <c r="AC18" s="24" t="n">
        <f aca="false">(M18/$AC$5)*'Equipe Técnica'!$C$13</f>
        <v>1511.14175910014</v>
      </c>
      <c r="AD18" s="24" t="n">
        <f aca="false">R18+(($V18+$W18+$X18+$Y18)*12/19)+$Z18</f>
        <v>564.743573036834</v>
      </c>
      <c r="AE18" s="24" t="n">
        <f aca="false">S18+(($V18+$W18+$X18+$Y18)*12/19)+$AA18</f>
        <v>661.05780518806</v>
      </c>
      <c r="AF18" s="24" t="n">
        <f aca="false">T18+(($V18+$W18+$X18+$Y18)*12/19)+$AB18</f>
        <v>1094.47184986858</v>
      </c>
      <c r="AG18" s="24" t="n">
        <f aca="false">U18+(($V18+$W18+$X18+$Y18)*12/19)+$AC18</f>
        <v>2394.55217138084</v>
      </c>
      <c r="AH18" s="2"/>
      <c r="AI18" s="22" t="str">
        <f aca="false">B18</f>
        <v>APS XANXERÊ</v>
      </c>
      <c r="AJ18" s="68" t="n">
        <f aca="false">VLOOKUP(AI18,Unidades!D$5:H$28,5,)</f>
        <v>0.2354</v>
      </c>
      <c r="AK18" s="48" t="n">
        <f aca="false">AD18*(1+$AJ18)</f>
        <v>697.684210129704</v>
      </c>
      <c r="AL18" s="48" t="n">
        <f aca="false">AE18*(1+$AJ18)</f>
        <v>816.670812529329</v>
      </c>
      <c r="AM18" s="48" t="n">
        <f aca="false">AF18*(1+$AJ18)</f>
        <v>1352.11052332764</v>
      </c>
      <c r="AN18" s="48" t="n">
        <f aca="false">AG18*(1+$AJ18)</f>
        <v>2958.22975252389</v>
      </c>
      <c r="AO18" s="48" t="n">
        <f aca="false">((AK18*12)+(AL18*4)+(AM18*2)+AN18)/12</f>
        <v>1441.77871423775</v>
      </c>
      <c r="AP18" s="48" t="n">
        <f aca="false">AO18*3</f>
        <v>4325.33614271324</v>
      </c>
      <c r="AQ18" s="48" t="n">
        <f aca="false">AO18+AP18</f>
        <v>5767.11485695098</v>
      </c>
      <c r="AR18" s="69"/>
      <c r="AS18" s="69"/>
      <c r="AT18" s="69"/>
      <c r="AU18" s="69"/>
      <c r="AV18" s="69"/>
      <c r="AW18" s="69"/>
      <c r="AX18" s="2"/>
      <c r="AY18" s="2"/>
      <c r="AZ18" s="2"/>
      <c r="BA18" s="2"/>
      <c r="BB18" s="2"/>
      <c r="BC18" s="2"/>
      <c r="BD18" s="2"/>
      <c r="BE18" s="2"/>
      <c r="BF18" s="2"/>
      <c r="BG18" s="2"/>
      <c r="BH18" s="2"/>
      <c r="BI18" s="2"/>
      <c r="BJ18" s="2"/>
      <c r="BK18" s="2"/>
      <c r="BL18" s="2"/>
      <c r="BM18" s="2"/>
      <c r="BN18" s="2"/>
      <c r="BO18" s="2"/>
      <c r="BP18" s="2"/>
      <c r="BQ18" s="2"/>
      <c r="BR18" s="2"/>
      <c r="BS18" s="2"/>
      <c r="BT18" s="2"/>
      <c r="BU18" s="2"/>
      <c r="BV18" s="2"/>
      <c r="BW18" s="2"/>
      <c r="BX18" s="2"/>
      <c r="BY18" s="2"/>
      <c r="BZ18" s="2"/>
      <c r="CA18" s="2"/>
      <c r="CB18" s="2"/>
      <c r="CC18" s="2"/>
      <c r="CD18" s="2"/>
      <c r="CE18" s="2"/>
      <c r="CF18" s="2"/>
      <c r="CG18" s="2"/>
      <c r="CH18" s="2"/>
      <c r="CI18" s="2"/>
      <c r="CJ18" s="2"/>
      <c r="CK18" s="2"/>
      <c r="CL18" s="2"/>
      <c r="CM18" s="2"/>
      <c r="CN18" s="2"/>
      <c r="CO18" s="2"/>
      <c r="CP18" s="2"/>
      <c r="CQ18" s="2"/>
      <c r="CR18" s="2"/>
      <c r="CS18" s="2"/>
      <c r="CT18" s="2"/>
      <c r="CU18" s="2"/>
      <c r="CV18" s="2"/>
      <c r="CW18" s="2"/>
      <c r="CX18" s="2"/>
      <c r="CY18" s="2"/>
      <c r="CZ18" s="2"/>
      <c r="DA18" s="2"/>
      <c r="DB18" s="2"/>
      <c r="DC18" s="2"/>
      <c r="DD18" s="2"/>
      <c r="DE18" s="2"/>
      <c r="DF18" s="2"/>
      <c r="DG18" s="2"/>
      <c r="DH18" s="2"/>
      <c r="DI18" s="2"/>
      <c r="DJ18" s="2"/>
      <c r="DK18" s="2"/>
      <c r="DL18" s="2"/>
      <c r="DM18" s="2"/>
      <c r="DN18" s="2"/>
      <c r="DO18" s="2"/>
      <c r="DP18" s="2"/>
      <c r="DQ18" s="2"/>
      <c r="DR18" s="2"/>
      <c r="DS18" s="2"/>
      <c r="DT18" s="2"/>
      <c r="DU18" s="2"/>
      <c r="DV18" s="2"/>
      <c r="DW18" s="2"/>
      <c r="DX18" s="2"/>
      <c r="DY18" s="2"/>
      <c r="DZ18" s="2"/>
      <c r="EA18" s="2"/>
      <c r="EB18" s="2"/>
      <c r="EC18" s="2"/>
      <c r="ED18" s="2"/>
      <c r="EE18" s="2"/>
      <c r="EF18" s="2"/>
      <c r="EG18" s="2"/>
      <c r="EH18" s="2"/>
      <c r="EI18" s="2"/>
      <c r="EJ18" s="2"/>
      <c r="EK18" s="2"/>
      <c r="EL18" s="2"/>
      <c r="EM18" s="2"/>
      <c r="EN18" s="2"/>
      <c r="EO18" s="2"/>
      <c r="EP18" s="2"/>
      <c r="EQ18" s="2"/>
      <c r="ER18" s="2"/>
      <c r="ES18" s="2"/>
      <c r="ET18" s="2"/>
      <c r="EU18" s="2"/>
      <c r="EV18" s="2"/>
      <c r="EW18" s="2"/>
      <c r="EX18" s="2"/>
      <c r="EY18" s="2"/>
      <c r="EZ18" s="2"/>
      <c r="FA18" s="2"/>
      <c r="FB18" s="2"/>
      <c r="FC18" s="2"/>
      <c r="FD18" s="2"/>
      <c r="FE18" s="2"/>
      <c r="FF18" s="2"/>
      <c r="FG18" s="2"/>
      <c r="FH18" s="2"/>
      <c r="FI18" s="2"/>
      <c r="FJ18" s="2"/>
      <c r="FK18" s="2"/>
      <c r="FL18" s="2"/>
      <c r="FM18" s="2"/>
      <c r="FN18" s="2"/>
      <c r="FO18" s="2"/>
      <c r="FP18" s="2"/>
      <c r="FQ18" s="2"/>
      <c r="FR18" s="2"/>
      <c r="FS18" s="2"/>
      <c r="FT18" s="2"/>
      <c r="FU18" s="2"/>
      <c r="FV18" s="2"/>
      <c r="FW18" s="2"/>
      <c r="FX18" s="2"/>
      <c r="FY18" s="2"/>
      <c r="FZ18" s="2"/>
      <c r="GA18" s="2"/>
      <c r="GB18" s="2"/>
      <c r="GC18" s="2"/>
      <c r="GD18" s="2"/>
      <c r="GE18" s="2"/>
      <c r="GF18" s="2"/>
      <c r="GG18" s="2"/>
      <c r="GH18" s="2"/>
      <c r="GI18" s="2"/>
      <c r="GJ18" s="2"/>
      <c r="GK18" s="2"/>
      <c r="GL18" s="2"/>
      <c r="GM18" s="2"/>
      <c r="GN18" s="2"/>
      <c r="GO18" s="2"/>
      <c r="GP18" s="2"/>
      <c r="GQ18" s="2"/>
      <c r="GR18" s="2"/>
      <c r="GS18" s="2"/>
      <c r="GT18" s="2"/>
      <c r="GU18" s="2"/>
      <c r="GV18" s="2"/>
      <c r="GW18" s="2"/>
      <c r="GX18" s="2"/>
      <c r="GY18" s="2"/>
      <c r="GZ18" s="2"/>
      <c r="HA18" s="2"/>
      <c r="HB18" s="2"/>
      <c r="HC18" s="2"/>
      <c r="HD18" s="2"/>
      <c r="HE18" s="2"/>
      <c r="HF18" s="2"/>
      <c r="HG18" s="2"/>
      <c r="HH18" s="2"/>
      <c r="HI18" s="2"/>
      <c r="HJ18" s="2"/>
      <c r="HK18" s="2"/>
      <c r="HL18" s="2"/>
      <c r="HM18" s="2"/>
      <c r="HN18" s="2"/>
      <c r="HO18" s="2"/>
      <c r="HP18" s="2"/>
      <c r="HQ18" s="2"/>
      <c r="HR18" s="2"/>
      <c r="HS18" s="2"/>
      <c r="HT18" s="2"/>
      <c r="HU18" s="2"/>
      <c r="HV18" s="2"/>
      <c r="HW18" s="2"/>
      <c r="HX18" s="2"/>
      <c r="HY18" s="2"/>
      <c r="HZ18" s="2"/>
      <c r="IA18" s="2"/>
      <c r="IB18" s="2"/>
      <c r="IC18" s="2"/>
      <c r="ID18" s="2"/>
      <c r="IE18" s="2"/>
      <c r="IF18" s="2"/>
      <c r="IG18" s="2"/>
      <c r="IH18" s="2"/>
      <c r="II18" s="2"/>
      <c r="IJ18" s="2"/>
      <c r="IK18" s="2"/>
      <c r="IL18" s="2"/>
      <c r="IM18" s="2"/>
      <c r="IN18" s="2"/>
      <c r="IO18" s="2"/>
      <c r="IP18" s="2"/>
      <c r="IQ18" s="2"/>
      <c r="IR18" s="2"/>
      <c r="IS18" s="2"/>
      <c r="IT18" s="2"/>
      <c r="IU18" s="2"/>
      <c r="IV18" s="2"/>
      <c r="IW18" s="2"/>
      <c r="IX18" s="2"/>
      <c r="IY18" s="2"/>
      <c r="IZ18" s="2"/>
      <c r="JA18" s="2"/>
      <c r="JB18" s="2"/>
      <c r="JC18" s="2"/>
      <c r="JD18" s="2"/>
      <c r="JE18" s="2"/>
      <c r="JF18" s="2"/>
      <c r="JG18" s="2"/>
      <c r="JH18" s="2"/>
      <c r="JI18" s="2"/>
      <c r="JJ18" s="2"/>
      <c r="JK18" s="2"/>
      <c r="JL18" s="2"/>
      <c r="JM18" s="2"/>
      <c r="JN18" s="2"/>
      <c r="JO18" s="2"/>
      <c r="JP18" s="2"/>
      <c r="JQ18" s="2"/>
      <c r="JR18" s="2"/>
      <c r="JS18" s="2"/>
      <c r="JT18" s="2"/>
      <c r="JU18" s="2"/>
      <c r="JV18" s="2"/>
      <c r="JW18" s="2"/>
      <c r="JX18" s="2"/>
      <c r="JY18" s="2"/>
      <c r="JZ18" s="2"/>
      <c r="KA18" s="2"/>
      <c r="KB18" s="2"/>
      <c r="KC18" s="2"/>
      <c r="KD18" s="2"/>
      <c r="KE18" s="2"/>
      <c r="KF18" s="2"/>
      <c r="KG18" s="2"/>
      <c r="KH18" s="2"/>
      <c r="KI18" s="2"/>
      <c r="KJ18" s="2"/>
      <c r="KK18" s="2"/>
      <c r="KL18" s="2"/>
      <c r="KM18" s="2"/>
      <c r="KN18" s="2"/>
      <c r="KO18" s="2"/>
      <c r="KP18" s="2"/>
      <c r="KQ18" s="2"/>
      <c r="KR18" s="2"/>
      <c r="KS18" s="2"/>
      <c r="KT18" s="2"/>
      <c r="KU18" s="2"/>
      <c r="KV18" s="2"/>
      <c r="KW18" s="2"/>
      <c r="KX18" s="2"/>
      <c r="KY18" s="2"/>
      <c r="KZ18" s="2"/>
      <c r="LA18" s="2"/>
      <c r="LB18" s="2"/>
      <c r="LC18" s="2"/>
      <c r="LD18" s="2"/>
      <c r="LE18" s="2"/>
      <c r="LF18" s="2"/>
      <c r="LG18" s="2"/>
      <c r="LH18" s="2"/>
      <c r="LI18" s="2"/>
      <c r="LJ18" s="2"/>
      <c r="LK18" s="2"/>
      <c r="LL18" s="2"/>
      <c r="LM18" s="2"/>
      <c r="LN18" s="2"/>
      <c r="LO18" s="2"/>
      <c r="LP18" s="2"/>
      <c r="LQ18" s="2"/>
      <c r="LR18" s="2"/>
      <c r="LS18" s="2"/>
      <c r="LT18" s="2"/>
      <c r="LU18" s="2"/>
      <c r="LV18" s="2"/>
      <c r="LW18" s="2"/>
      <c r="LX18" s="2"/>
      <c r="LY18" s="2"/>
      <c r="LZ18" s="2"/>
      <c r="MA18" s="2"/>
      <c r="MB18" s="2"/>
      <c r="MC18" s="2"/>
      <c r="MD18" s="2"/>
      <c r="ME18" s="2"/>
      <c r="MF18" s="2"/>
      <c r="MG18" s="2"/>
      <c r="MH18" s="2"/>
      <c r="MI18" s="2"/>
      <c r="MJ18" s="2"/>
      <c r="MK18" s="2"/>
      <c r="ML18" s="2"/>
      <c r="MM18" s="2"/>
      <c r="MN18" s="2"/>
      <c r="MO18" s="2"/>
      <c r="MP18" s="2"/>
      <c r="MQ18" s="2"/>
      <c r="MR18" s="2"/>
      <c r="MS18" s="2"/>
      <c r="MT18" s="2"/>
      <c r="MU18" s="2"/>
      <c r="MV18" s="2"/>
      <c r="MW18" s="2"/>
      <c r="MX18" s="2"/>
      <c r="MY18" s="2"/>
      <c r="MZ18" s="2"/>
      <c r="NA18" s="2"/>
      <c r="NB18" s="2"/>
      <c r="NC18" s="2"/>
      <c r="ND18" s="2"/>
      <c r="NE18" s="2"/>
      <c r="NF18" s="2"/>
      <c r="NG18" s="2"/>
      <c r="NH18" s="2"/>
      <c r="NI18" s="2"/>
      <c r="NJ18" s="2"/>
      <c r="NK18" s="2"/>
      <c r="NL18" s="2"/>
      <c r="NM18" s="2"/>
      <c r="NN18" s="2"/>
      <c r="NO18" s="2"/>
      <c r="NP18" s="2"/>
      <c r="NQ18" s="2"/>
      <c r="NR18" s="2"/>
      <c r="NS18" s="2"/>
      <c r="NT18" s="2"/>
      <c r="NU18" s="2"/>
      <c r="NV18" s="2"/>
      <c r="NW18" s="2"/>
      <c r="NX18" s="2"/>
      <c r="NY18" s="2"/>
      <c r="NZ18" s="2"/>
      <c r="OA18" s="2"/>
      <c r="OB18" s="2"/>
      <c r="OC18" s="2"/>
      <c r="OD18" s="2"/>
      <c r="OE18" s="2"/>
      <c r="OF18" s="2"/>
      <c r="OG18" s="2"/>
      <c r="OH18" s="2"/>
      <c r="OI18" s="2"/>
      <c r="OJ18" s="2"/>
      <c r="OK18" s="2"/>
      <c r="OL18" s="2"/>
      <c r="OM18" s="2"/>
      <c r="ON18" s="2"/>
      <c r="OO18" s="2"/>
      <c r="OP18" s="2"/>
      <c r="OQ18" s="2"/>
      <c r="OR18" s="2"/>
      <c r="OS18" s="2"/>
      <c r="OT18" s="2"/>
      <c r="OU18" s="2"/>
      <c r="OV18" s="2"/>
      <c r="OW18" s="2"/>
      <c r="OX18" s="2"/>
      <c r="OY18" s="2"/>
      <c r="OZ18" s="2"/>
      <c r="PA18" s="2"/>
      <c r="PB18" s="2"/>
      <c r="PC18" s="2"/>
      <c r="PD18" s="2"/>
      <c r="PE18" s="2"/>
      <c r="PF18" s="2"/>
      <c r="PG18" s="2"/>
      <c r="PH18" s="2"/>
      <c r="PI18" s="2"/>
      <c r="PJ18" s="2"/>
      <c r="PK18" s="2"/>
      <c r="PL18" s="2"/>
      <c r="PM18" s="2"/>
      <c r="PN18" s="2"/>
      <c r="PO18" s="2"/>
      <c r="PP18" s="2"/>
      <c r="PQ18" s="2"/>
      <c r="PR18" s="2"/>
      <c r="PS18" s="2"/>
      <c r="PT18" s="2"/>
      <c r="PU18" s="2"/>
      <c r="PV18" s="2"/>
      <c r="PW18" s="2"/>
      <c r="PX18" s="2"/>
      <c r="PY18" s="2"/>
      <c r="PZ18" s="2"/>
      <c r="QA18" s="2"/>
      <c r="QB18" s="2"/>
      <c r="QC18" s="2"/>
      <c r="QD18" s="2"/>
      <c r="QE18" s="2"/>
      <c r="QF18" s="2"/>
      <c r="QG18" s="2"/>
      <c r="QH18" s="2"/>
      <c r="QI18" s="2"/>
      <c r="QJ18" s="2"/>
      <c r="QK18" s="2"/>
      <c r="QL18" s="2"/>
      <c r="QM18" s="2"/>
      <c r="QN18" s="2"/>
      <c r="QO18" s="2"/>
      <c r="QP18" s="2"/>
      <c r="QQ18" s="2"/>
      <c r="QR18" s="2"/>
      <c r="QS18" s="2"/>
      <c r="QT18" s="2"/>
      <c r="QU18" s="2"/>
      <c r="QV18" s="2"/>
      <c r="QW18" s="2"/>
      <c r="QX18" s="2"/>
      <c r="QY18" s="2"/>
      <c r="QZ18" s="2"/>
      <c r="RA18" s="2"/>
      <c r="RB18" s="2"/>
      <c r="RC18" s="2"/>
      <c r="RD18" s="2"/>
      <c r="RE18" s="2"/>
      <c r="RF18" s="2"/>
      <c r="RG18" s="2"/>
      <c r="RH18" s="2"/>
      <c r="RI18" s="2"/>
      <c r="RJ18" s="2"/>
      <c r="RK18" s="2"/>
      <c r="RL18" s="2"/>
      <c r="RM18" s="2"/>
      <c r="RN18" s="2"/>
      <c r="RO18" s="2"/>
      <c r="RP18" s="2"/>
      <c r="RQ18" s="2"/>
      <c r="RR18" s="2"/>
      <c r="RS18" s="2"/>
      <c r="RT18" s="2"/>
      <c r="RU18" s="2"/>
      <c r="RV18" s="2"/>
      <c r="RW18" s="2"/>
      <c r="RX18" s="2"/>
      <c r="RY18" s="2"/>
      <c r="RZ18" s="2"/>
      <c r="SA18" s="2"/>
      <c r="SB18" s="2"/>
      <c r="SC18" s="2"/>
      <c r="SD18" s="2"/>
      <c r="SE18" s="2"/>
      <c r="SF18" s="2"/>
      <c r="SG18" s="2"/>
      <c r="SH18" s="2"/>
      <c r="SI18" s="2"/>
      <c r="SJ18" s="2"/>
      <c r="SK18" s="2"/>
      <c r="SL18" s="2"/>
      <c r="SM18" s="2"/>
      <c r="SN18" s="2"/>
      <c r="SO18" s="2"/>
      <c r="SP18" s="2"/>
      <c r="SQ18" s="2"/>
      <c r="SR18" s="2"/>
      <c r="SS18" s="2"/>
      <c r="ST18" s="2"/>
      <c r="SU18" s="2"/>
      <c r="SV18" s="2"/>
      <c r="SW18" s="2"/>
      <c r="SX18" s="2"/>
      <c r="SY18" s="2"/>
      <c r="SZ18" s="2"/>
      <c r="TA18" s="2"/>
      <c r="TB18" s="2"/>
      <c r="TC18" s="2"/>
      <c r="TD18" s="2"/>
      <c r="TE18" s="2"/>
      <c r="TF18" s="2"/>
      <c r="TG18" s="2"/>
      <c r="TH18" s="2"/>
      <c r="TI18" s="2"/>
      <c r="TJ18" s="2"/>
      <c r="TK18" s="2"/>
      <c r="TL18" s="2"/>
      <c r="TM18" s="2"/>
      <c r="TN18" s="2"/>
      <c r="TO18" s="2"/>
      <c r="TP18" s="2"/>
      <c r="TQ18" s="2"/>
      <c r="TR18" s="2"/>
      <c r="TS18" s="2"/>
      <c r="TT18" s="2"/>
      <c r="TU18" s="2"/>
      <c r="TV18" s="2"/>
      <c r="TW18" s="2"/>
      <c r="TX18" s="2"/>
      <c r="TY18" s="2"/>
      <c r="TZ18" s="2"/>
      <c r="UA18" s="2"/>
      <c r="UB18" s="2"/>
      <c r="UC18" s="2"/>
      <c r="UD18" s="2"/>
      <c r="UE18" s="2"/>
      <c r="UF18" s="2"/>
      <c r="UG18" s="2"/>
      <c r="UH18" s="2"/>
      <c r="UI18" s="2"/>
      <c r="UJ18" s="2"/>
      <c r="UK18" s="2"/>
      <c r="UL18" s="2"/>
      <c r="UM18" s="2"/>
      <c r="UN18" s="2"/>
      <c r="UO18" s="2"/>
      <c r="UP18" s="2"/>
      <c r="UQ18" s="2"/>
      <c r="UR18" s="2"/>
      <c r="US18" s="2"/>
      <c r="UT18" s="2"/>
      <c r="UU18" s="2"/>
      <c r="UV18" s="2"/>
      <c r="UW18" s="2"/>
      <c r="UX18" s="2"/>
      <c r="UY18" s="2"/>
      <c r="UZ18" s="2"/>
      <c r="VA18" s="2"/>
      <c r="VB18" s="2"/>
      <c r="VC18" s="2"/>
      <c r="VD18" s="2"/>
      <c r="VE18" s="2"/>
      <c r="VF18" s="2"/>
      <c r="VG18" s="2"/>
      <c r="VH18" s="2"/>
      <c r="VI18" s="2"/>
      <c r="VJ18" s="2"/>
      <c r="VK18" s="2"/>
      <c r="VL18" s="2"/>
      <c r="VM18" s="2"/>
      <c r="VN18" s="2"/>
      <c r="VO18" s="2"/>
      <c r="VP18" s="2"/>
      <c r="VQ18" s="2"/>
      <c r="VR18" s="2"/>
      <c r="VS18" s="2"/>
      <c r="VT18" s="2"/>
      <c r="VU18" s="2"/>
      <c r="VV18" s="2"/>
      <c r="VW18" s="2"/>
      <c r="VX18" s="2"/>
      <c r="VY18" s="2"/>
      <c r="VZ18" s="2"/>
      <c r="WA18" s="2"/>
      <c r="WB18" s="2"/>
      <c r="WC18" s="2"/>
      <c r="WD18" s="2"/>
      <c r="WE18" s="2"/>
      <c r="WF18" s="2"/>
      <c r="WG18" s="2"/>
      <c r="WH18" s="2"/>
      <c r="WI18" s="2"/>
      <c r="WJ18" s="2"/>
      <c r="WK18" s="2"/>
      <c r="WL18" s="2"/>
      <c r="WM18" s="2"/>
      <c r="WN18" s="2"/>
      <c r="WO18" s="2"/>
      <c r="WP18" s="2"/>
      <c r="WQ18" s="2"/>
      <c r="WR18" s="2"/>
      <c r="WS18" s="2"/>
      <c r="WT18" s="2"/>
      <c r="WU18" s="2"/>
      <c r="WV18" s="2"/>
      <c r="WW18" s="2"/>
      <c r="WX18" s="2"/>
      <c r="WY18" s="2"/>
      <c r="WZ18" s="2"/>
      <c r="XA18" s="2"/>
      <c r="XB18" s="2"/>
      <c r="XC18" s="2"/>
      <c r="XD18" s="2"/>
      <c r="XE18" s="2"/>
      <c r="XF18" s="2"/>
      <c r="XG18" s="2"/>
      <c r="XH18" s="2"/>
      <c r="XI18" s="2"/>
      <c r="XJ18" s="2"/>
      <c r="XK18" s="2"/>
      <c r="XL18" s="2"/>
      <c r="XM18" s="2"/>
      <c r="XN18" s="2"/>
      <c r="XO18" s="2"/>
      <c r="XP18" s="2"/>
      <c r="XQ18" s="2"/>
      <c r="XR18" s="2"/>
      <c r="XS18" s="2"/>
      <c r="XT18" s="2"/>
      <c r="XU18" s="2"/>
      <c r="XV18" s="2"/>
      <c r="XW18" s="2"/>
      <c r="XX18" s="2"/>
      <c r="XY18" s="2"/>
      <c r="XZ18" s="2"/>
      <c r="YA18" s="2"/>
      <c r="YB18" s="2"/>
      <c r="YC18" s="2"/>
      <c r="YD18" s="2"/>
      <c r="YE18" s="2"/>
      <c r="YF18" s="2"/>
      <c r="YG18" s="2"/>
      <c r="YH18" s="2"/>
      <c r="YI18" s="2"/>
      <c r="YJ18" s="2"/>
      <c r="YK18" s="2"/>
      <c r="YL18" s="2"/>
      <c r="YM18" s="2"/>
      <c r="YN18" s="2"/>
      <c r="YO18" s="2"/>
      <c r="YP18" s="2"/>
      <c r="YQ18" s="2"/>
      <c r="YR18" s="2"/>
      <c r="YS18" s="2"/>
      <c r="YT18" s="2"/>
      <c r="YU18" s="2"/>
      <c r="YV18" s="2"/>
      <c r="YW18" s="2"/>
      <c r="YX18" s="2"/>
      <c r="YY18" s="2"/>
      <c r="YZ18" s="2"/>
      <c r="ZA18" s="2"/>
      <c r="ZB18" s="2"/>
      <c r="ZC18" s="2"/>
      <c r="ZD18" s="2"/>
      <c r="ZE18" s="2"/>
      <c r="ZF18" s="2"/>
      <c r="ZG18" s="2"/>
      <c r="ZH18" s="2"/>
      <c r="ZI18" s="2"/>
      <c r="ZJ18" s="2"/>
      <c r="ZK18" s="2"/>
      <c r="ZL18" s="2"/>
      <c r="ZM18" s="2"/>
      <c r="ZN18" s="2"/>
      <c r="ZO18" s="2"/>
      <c r="ZP18" s="2"/>
      <c r="ZQ18" s="2"/>
      <c r="ZR18" s="2"/>
      <c r="ZS18" s="2"/>
      <c r="ZT18" s="2"/>
      <c r="ZU18" s="2"/>
      <c r="ZV18" s="2"/>
      <c r="ZW18" s="2"/>
      <c r="ZX18" s="2"/>
      <c r="ZY18" s="2"/>
      <c r="ZZ18" s="2"/>
      <c r="AAA18" s="2"/>
      <c r="AAB18" s="2"/>
      <c r="AAC18" s="2"/>
      <c r="AAD18" s="2"/>
      <c r="AAE18" s="2"/>
      <c r="AAF18" s="2"/>
      <c r="AAG18" s="2"/>
      <c r="AAH18" s="2"/>
      <c r="AAI18" s="2"/>
      <c r="AAJ18" s="2"/>
      <c r="AAK18" s="2"/>
      <c r="AAL18" s="2"/>
      <c r="AAM18" s="2"/>
      <c r="AAN18" s="2"/>
      <c r="AAO18" s="2"/>
      <c r="AAP18" s="2"/>
      <c r="AAQ18" s="2"/>
      <c r="AAR18" s="2"/>
      <c r="AAS18" s="2"/>
      <c r="AAT18" s="2"/>
      <c r="AAU18" s="2"/>
      <c r="AAV18" s="2"/>
      <c r="AAW18" s="2"/>
      <c r="AAX18" s="2"/>
      <c r="AAY18" s="2"/>
      <c r="AAZ18" s="2"/>
      <c r="ABA18" s="2"/>
      <c r="ABB18" s="2"/>
      <c r="ABC18" s="2"/>
      <c r="ABD18" s="2"/>
      <c r="ABE18" s="2"/>
      <c r="ABF18" s="2"/>
      <c r="ABG18" s="2"/>
      <c r="ABH18" s="2"/>
      <c r="ABI18" s="2"/>
      <c r="ABJ18" s="2"/>
      <c r="ABK18" s="2"/>
      <c r="ABL18" s="2"/>
      <c r="ABM18" s="2"/>
      <c r="ABN18" s="2"/>
      <c r="ABO18" s="2"/>
      <c r="ABP18" s="2"/>
      <c r="ABQ18" s="2"/>
      <c r="ABR18" s="2"/>
      <c r="ABS18" s="2"/>
      <c r="ABT18" s="2"/>
      <c r="ABU18" s="2"/>
      <c r="ABV18" s="2"/>
      <c r="ABW18" s="2"/>
      <c r="ABX18" s="2"/>
      <c r="ABY18" s="2"/>
      <c r="ABZ18" s="2"/>
      <c r="ACA18" s="2"/>
      <c r="ACB18" s="2"/>
      <c r="ACC18" s="2"/>
      <c r="ACD18" s="2"/>
      <c r="ACE18" s="2"/>
      <c r="ACF18" s="2"/>
      <c r="ACG18" s="2"/>
      <c r="ACH18" s="2"/>
      <c r="ACI18" s="2"/>
      <c r="ACJ18" s="2"/>
      <c r="ACK18" s="2"/>
      <c r="ACL18" s="2"/>
      <c r="ACM18" s="2"/>
      <c r="ACN18" s="2"/>
      <c r="ACO18" s="2"/>
      <c r="ACP18" s="2"/>
      <c r="ACQ18" s="2"/>
      <c r="ACR18" s="2"/>
      <c r="ACS18" s="2"/>
      <c r="ACT18" s="2"/>
      <c r="ACU18" s="2"/>
      <c r="ACV18" s="2"/>
      <c r="ACW18" s="2"/>
      <c r="ACX18" s="2"/>
      <c r="ACY18" s="2"/>
      <c r="ACZ18" s="2"/>
      <c r="ADA18" s="2"/>
      <c r="ADB18" s="2"/>
      <c r="ADC18" s="2"/>
      <c r="ADD18" s="2"/>
      <c r="ADE18" s="2"/>
      <c r="ADF18" s="2"/>
      <c r="ADG18" s="2"/>
      <c r="ADH18" s="2"/>
      <c r="ADI18" s="2"/>
      <c r="ADJ18" s="2"/>
      <c r="ADK18" s="2"/>
      <c r="ADL18" s="2"/>
      <c r="ADM18" s="2"/>
      <c r="ADN18" s="2"/>
      <c r="ADO18" s="2"/>
      <c r="ADP18" s="2"/>
      <c r="ADQ18" s="2"/>
      <c r="ADR18" s="2"/>
      <c r="ADS18" s="2"/>
      <c r="ADT18" s="2"/>
      <c r="ADU18" s="2"/>
      <c r="ADV18" s="2"/>
      <c r="ADW18" s="2"/>
      <c r="ADX18" s="2"/>
      <c r="ADY18" s="2"/>
      <c r="ADZ18" s="2"/>
      <c r="AEA18" s="2"/>
      <c r="AEB18" s="2"/>
      <c r="AEC18" s="2"/>
      <c r="AED18" s="2"/>
      <c r="AEE18" s="2"/>
      <c r="AEF18" s="2"/>
      <c r="AEG18" s="2"/>
      <c r="AEH18" s="2"/>
      <c r="AEI18" s="2"/>
      <c r="AEJ18" s="2"/>
      <c r="AEK18" s="2"/>
      <c r="AEL18" s="2"/>
      <c r="AEM18" s="2"/>
      <c r="AEN18" s="2"/>
      <c r="AEO18" s="2"/>
      <c r="AEP18" s="2"/>
      <c r="AEQ18" s="2"/>
      <c r="AER18" s="2"/>
      <c r="AES18" s="2"/>
      <c r="AET18" s="2"/>
      <c r="AEU18" s="2"/>
      <c r="AEV18" s="2"/>
      <c r="AEW18" s="2"/>
      <c r="AEX18" s="2"/>
      <c r="AEY18" s="2"/>
      <c r="AEZ18" s="2"/>
      <c r="AFA18" s="2"/>
      <c r="AFB18" s="2"/>
      <c r="AFC18" s="2"/>
      <c r="AFD18" s="2"/>
      <c r="AFE18" s="2"/>
      <c r="AFF18" s="2"/>
      <c r="AFG18" s="2"/>
      <c r="AFH18" s="2"/>
      <c r="AFI18" s="2"/>
      <c r="AFJ18" s="2"/>
      <c r="AFK18" s="2"/>
      <c r="AFL18" s="2"/>
      <c r="AFM18" s="2"/>
      <c r="AFN18" s="2"/>
      <c r="AFO18" s="2"/>
      <c r="AFP18" s="2"/>
      <c r="AFQ18" s="2"/>
      <c r="AFR18" s="2"/>
      <c r="AFS18" s="2"/>
      <c r="AFT18" s="2"/>
      <c r="AFU18" s="2"/>
      <c r="AFV18" s="2"/>
      <c r="AFW18" s="2"/>
      <c r="AFX18" s="2"/>
      <c r="AFY18" s="2"/>
      <c r="AFZ18" s="2"/>
      <c r="AGA18" s="2"/>
      <c r="AGB18" s="2"/>
      <c r="AGC18" s="2"/>
      <c r="AGD18" s="2"/>
      <c r="AGE18" s="2"/>
      <c r="AGF18" s="2"/>
      <c r="AGG18" s="2"/>
      <c r="AGH18" s="2"/>
      <c r="AGI18" s="2"/>
      <c r="AGJ18" s="2"/>
      <c r="AGK18" s="2"/>
      <c r="AGL18" s="2"/>
      <c r="AGM18" s="2"/>
      <c r="AGN18" s="2"/>
      <c r="AGO18" s="2"/>
      <c r="AGP18" s="2"/>
      <c r="AGQ18" s="2"/>
      <c r="AGR18" s="2"/>
      <c r="AGS18" s="2"/>
      <c r="AGT18" s="2"/>
      <c r="AGU18" s="2"/>
      <c r="AGV18" s="2"/>
      <c r="AGW18" s="2"/>
      <c r="AGX18" s="2"/>
      <c r="AGY18" s="2"/>
      <c r="AGZ18" s="2"/>
      <c r="AHA18" s="2"/>
      <c r="AHB18" s="2"/>
      <c r="AHC18" s="2"/>
      <c r="AHD18" s="2"/>
      <c r="AHE18" s="2"/>
      <c r="AHF18" s="2"/>
      <c r="AHG18" s="2"/>
      <c r="AHH18" s="2"/>
      <c r="AHI18" s="2"/>
      <c r="AHJ18" s="2"/>
      <c r="AHK18" s="2"/>
      <c r="AHL18" s="2"/>
      <c r="AHM18" s="2"/>
      <c r="AHN18" s="2"/>
      <c r="AHO18" s="2"/>
      <c r="AHP18" s="2"/>
      <c r="AHQ18" s="2"/>
      <c r="AHR18" s="2"/>
      <c r="AHS18" s="2"/>
      <c r="AHT18" s="2"/>
      <c r="AHU18" s="2"/>
      <c r="AHV18" s="2"/>
      <c r="AHW18" s="2"/>
      <c r="AHX18" s="2"/>
      <c r="AHY18" s="2"/>
      <c r="AHZ18" s="2"/>
      <c r="AIA18" s="2"/>
      <c r="AIB18" s="2"/>
      <c r="AIC18" s="2"/>
      <c r="AID18" s="2"/>
      <c r="AIE18" s="2"/>
      <c r="AIF18" s="2"/>
      <c r="AIG18" s="2"/>
      <c r="AIH18" s="2"/>
      <c r="AII18" s="2"/>
      <c r="AIJ18" s="2"/>
      <c r="AIK18" s="2"/>
      <c r="AIL18" s="2"/>
      <c r="AIM18" s="2"/>
      <c r="AIN18" s="2"/>
      <c r="AIO18" s="2"/>
      <c r="AIP18" s="2"/>
      <c r="AIQ18" s="2"/>
      <c r="AIR18" s="2"/>
      <c r="AIS18" s="2"/>
      <c r="AIT18" s="2"/>
      <c r="AIU18" s="2"/>
      <c r="AIV18" s="2"/>
      <c r="AIW18" s="2"/>
      <c r="AIX18" s="2"/>
      <c r="AIY18" s="2"/>
      <c r="AIZ18" s="2"/>
      <c r="AJA18" s="2"/>
      <c r="AJB18" s="2"/>
      <c r="AJC18" s="2"/>
      <c r="AJD18" s="2"/>
      <c r="AJE18" s="2"/>
      <c r="AJF18" s="2"/>
      <c r="AJG18" s="2"/>
      <c r="AJH18" s="2"/>
      <c r="AJI18" s="2"/>
      <c r="AJJ18" s="2"/>
      <c r="AJK18" s="2"/>
      <c r="AJL18" s="2"/>
      <c r="AJM18" s="2"/>
      <c r="AJN18" s="2"/>
      <c r="AJO18" s="2"/>
      <c r="AJP18" s="2"/>
      <c r="AJQ18" s="2"/>
      <c r="AJR18" s="2"/>
      <c r="AJS18" s="2"/>
      <c r="AJT18" s="2"/>
      <c r="AJU18" s="2"/>
      <c r="AJV18" s="2"/>
      <c r="AJW18" s="2"/>
      <c r="AJX18" s="2"/>
      <c r="AJY18" s="2"/>
      <c r="AJZ18" s="2"/>
      <c r="AKA18" s="2"/>
      <c r="AKB18" s="2"/>
      <c r="AKC18" s="2"/>
      <c r="AKD18" s="2"/>
      <c r="AKE18" s="2"/>
      <c r="AKF18" s="2"/>
      <c r="AKG18" s="2"/>
      <c r="AKH18" s="2"/>
      <c r="AKI18" s="2"/>
      <c r="AKJ18" s="2"/>
      <c r="AKK18" s="2"/>
      <c r="AKL18" s="2"/>
      <c r="AKM18" s="2"/>
      <c r="AKN18" s="2"/>
      <c r="AKO18" s="2"/>
      <c r="AKP18" s="2"/>
      <c r="AKQ18" s="2"/>
      <c r="AKR18" s="2"/>
      <c r="AKS18" s="2"/>
      <c r="AKT18" s="2"/>
      <c r="AKU18" s="2"/>
      <c r="AKV18" s="2"/>
      <c r="AKW18" s="2"/>
      <c r="AKX18" s="2"/>
      <c r="AKY18" s="2"/>
      <c r="AKZ18" s="2"/>
      <c r="ALA18" s="2"/>
      <c r="ALB18" s="2"/>
      <c r="ALC18" s="2"/>
      <c r="ALD18" s="2"/>
      <c r="ALE18" s="2"/>
      <c r="ALF18" s="2"/>
      <c r="ALG18" s="2"/>
      <c r="ALH18" s="2"/>
      <c r="ALI18" s="2"/>
      <c r="ALJ18" s="2"/>
      <c r="ALK18" s="2"/>
      <c r="ALL18" s="2"/>
      <c r="ALM18" s="2"/>
      <c r="ALN18" s="2"/>
      <c r="ALO18" s="2"/>
      <c r="ALP18" s="2"/>
      <c r="ALQ18" s="2"/>
      <c r="ALR18" s="2"/>
      <c r="ALS18" s="2"/>
      <c r="ALT18" s="2"/>
      <c r="ALU18" s="2"/>
      <c r="ALV18" s="2"/>
      <c r="ALW18" s="2"/>
      <c r="ALX18" s="2"/>
    </row>
    <row r="19" customFormat="false" ht="15" hidden="false" customHeight="true" outlineLevel="0" collapsed="false">
      <c r="A19" s="2"/>
      <c r="B19" s="22" t="s">
        <v>99</v>
      </c>
      <c r="C19" s="64" t="n">
        <f aca="false">VLOOKUP($B19,Unidades!$D$5:$N$28,6,FALSE())</f>
        <v>334.4</v>
      </c>
      <c r="D19" s="64" t="n">
        <f aca="false">VLOOKUP($B19,Unidades!$D$5:$N$28,7,FALSE())</f>
        <v>296</v>
      </c>
      <c r="E19" s="64" t="n">
        <f aca="false">VLOOKUP($B19,Unidades!$D$5:$N$28,8,FALSE())</f>
        <v>38.4</v>
      </c>
      <c r="F19" s="64" t="n">
        <f aca="false">VLOOKUP($B19,Unidades!$D$5:$N$28,9,FALSE())</f>
        <v>0</v>
      </c>
      <c r="G19" s="64" t="n">
        <f aca="false">D19+E19*$E$6+F19*$F$6</f>
        <v>309.44</v>
      </c>
      <c r="H19" s="65" t="n">
        <f aca="false">IF(G19&lt;750,1.5,IF(G19&lt;2000,2,3))</f>
        <v>1.5</v>
      </c>
      <c r="I19" s="65" t="n">
        <f aca="false">$I$6*H19</f>
        <v>1.8</v>
      </c>
      <c r="J19" s="65" t="str">
        <f aca="false">VLOOKUP($B19,Unidades!$D$5:$N$28,10,FALSE())</f>
        <v>NÃO</v>
      </c>
      <c r="K19" s="65" t="str">
        <f aca="false">VLOOKUP($B19,Unidades!$D$5:$N$28,11,FALSE())</f>
        <v>NÃO</v>
      </c>
      <c r="L19" s="65" t="n">
        <f aca="false">$L$6*H19+(IF(J19="SIM",$J$6,0))</f>
        <v>1.65</v>
      </c>
      <c r="M19" s="65" t="n">
        <f aca="false">$M$6*H19+(IF(J19="SIM",$J$6,0))+(IF(K19="SIM",$K$6,0))</f>
        <v>1.65</v>
      </c>
      <c r="N19" s="65" t="n">
        <f aca="false">H19*12+I19*4+L19*2+M19</f>
        <v>30.15</v>
      </c>
      <c r="O19" s="66" t="n">
        <f aca="false">IF(K19="não", N19*(C$24+D$24),N19*(C$24+D$24)+(M19*+E$24))</f>
        <v>1703.475</v>
      </c>
      <c r="P19" s="67"/>
      <c r="Q19" s="22" t="str">
        <f aca="false">B19</f>
        <v>APS XAXIM</v>
      </c>
      <c r="R19" s="24" t="n">
        <f aca="false">H19*($C$24+$D$24)</f>
        <v>84.75</v>
      </c>
      <c r="S19" s="24" t="n">
        <f aca="false">I19*($C$24+$D$24)</f>
        <v>101.7</v>
      </c>
      <c r="T19" s="24" t="n">
        <f aca="false">L19*($C$24+$D$24)</f>
        <v>93.225</v>
      </c>
      <c r="U19" s="24" t="n">
        <f aca="false">IF(K19="não",M19*($C$24+$D$24),M19*(C$24+D$24+E$24))</f>
        <v>93.225</v>
      </c>
      <c r="V19" s="24" t="n">
        <f aca="false">VLOOKUP(Q19,'Desl. Base Chapecó'!$C$5:$S$18,13,FALSE())*($C$24+$D$24+$E$24*(VLOOKUP(Q19,'Desl. Base Chapecó'!$C$5:$S$18,17,FALSE())/12))</f>
        <v>54.9304861111111</v>
      </c>
      <c r="W19" s="24" t="n">
        <f aca="false">VLOOKUP(Q19,'Desl. Base Chapecó'!$C$5:$S$19,15,FALSE())*(2+(VLOOKUP(Q19,'Desl. Base Chapecó'!$C$5:$S$19,17,FALSE())/12))</f>
        <v>0</v>
      </c>
      <c r="X19" s="24" t="n">
        <f aca="false">VLOOKUP(Q19,'Desl. Base Chapecó'!$C$5:$Q$18,14,FALSE())</f>
        <v>0</v>
      </c>
      <c r="Y19" s="24" t="n">
        <f aca="false">VLOOKUP(Q19,'Desl. Base Chapecó'!$C$5:$Q$18,13,FALSE())*'Desl. Base Chapecó'!$E$23+'Desl. Base Chapecó'!$E$24*N19/12</f>
        <v>65.146875</v>
      </c>
      <c r="Z19" s="24" t="n">
        <f aca="false">(H19/$AC$5)*'Equipe Técnica'!$C$13</f>
        <v>276.428370567099</v>
      </c>
      <c r="AA19" s="24" t="n">
        <f aca="false">(I19/$AC$5)*'Equipe Técnica'!$C$13</f>
        <v>331.714044680519</v>
      </c>
      <c r="AB19" s="24" t="n">
        <f aca="false">(L19/$AC$5)*'Equipe Técnica'!$C$13</f>
        <v>304.071207623809</v>
      </c>
      <c r="AC19" s="24" t="n">
        <f aca="false">(M19/$AC$5)*'Equipe Técnica'!$C$13</f>
        <v>304.071207623809</v>
      </c>
      <c r="AD19" s="24" t="n">
        <f aca="false">R19+(($V19+$W19+$X19+$Y19)*12/19)+$Z19</f>
        <v>437.016703900432</v>
      </c>
      <c r="AE19" s="24" t="n">
        <f aca="false">S19+(($V19+$W19+$X19+$Y19)*12/19)+$AA19</f>
        <v>509.252378013852</v>
      </c>
      <c r="AF19" s="24" t="n">
        <f aca="false">T19+(($V19+$W19+$X19+$Y19)*12/19)+$AB19</f>
        <v>473.134540957142</v>
      </c>
      <c r="AG19" s="24" t="n">
        <f aca="false">U19+(($V19+$W19+$X19+$Y19)*12/19)+$AC19</f>
        <v>473.134540957142</v>
      </c>
      <c r="AH19" s="2"/>
      <c r="AI19" s="22" t="str">
        <f aca="false">B19</f>
        <v>APS XAXIM</v>
      </c>
      <c r="AJ19" s="68" t="n">
        <f aca="false">VLOOKUP(AI19,Unidades!D$5:H$28,5,)</f>
        <v>0.2354</v>
      </c>
      <c r="AK19" s="48" t="n">
        <f aca="false">AD19*(1+$AJ19)</f>
        <v>539.890435998594</v>
      </c>
      <c r="AL19" s="48" t="n">
        <f aca="false">AE19*(1+$AJ19)</f>
        <v>629.130387798313</v>
      </c>
      <c r="AM19" s="48" t="n">
        <f aca="false">AF19*(1+$AJ19)</f>
        <v>584.510411898453</v>
      </c>
      <c r="AN19" s="48" t="n">
        <f aca="false">AG19*(1+$AJ19)</f>
        <v>584.510411898453</v>
      </c>
      <c r="AO19" s="48" t="n">
        <f aca="false">((AK19*12)+(AL19*4)+(AM19*2)+AN19)/12</f>
        <v>895.728168239312</v>
      </c>
      <c r="AP19" s="48" t="n">
        <f aca="false">AO19*3</f>
        <v>2687.18450471793</v>
      </c>
      <c r="AQ19" s="48" t="n">
        <f aca="false">AO19+AP19</f>
        <v>3582.91267295725</v>
      </c>
      <c r="AR19" s="69"/>
      <c r="AS19" s="69"/>
      <c r="AT19" s="69"/>
      <c r="AU19" s="69"/>
      <c r="AV19" s="69"/>
      <c r="AW19" s="69"/>
      <c r="AX19" s="2"/>
      <c r="AY19" s="2"/>
      <c r="AZ19" s="2"/>
      <c r="BA19" s="2"/>
      <c r="BB19" s="2"/>
      <c r="BC19" s="2"/>
      <c r="BD19" s="2"/>
      <c r="BE19" s="2"/>
      <c r="BF19" s="2"/>
      <c r="BG19" s="2"/>
      <c r="BH19" s="2"/>
      <c r="BI19" s="2"/>
      <c r="BJ19" s="2"/>
      <c r="BK19" s="2"/>
      <c r="BL19" s="2"/>
      <c r="BM19" s="2"/>
      <c r="BN19" s="2"/>
      <c r="BO19" s="2"/>
      <c r="BP19" s="2"/>
      <c r="BQ19" s="2"/>
      <c r="BR19" s="2"/>
      <c r="BS19" s="2"/>
      <c r="BT19" s="2"/>
      <c r="BU19" s="2"/>
      <c r="BV19" s="2"/>
      <c r="BW19" s="2"/>
      <c r="BX19" s="2"/>
      <c r="BY19" s="2"/>
      <c r="BZ19" s="2"/>
      <c r="CA19" s="2"/>
      <c r="CB19" s="2"/>
      <c r="CC19" s="2"/>
      <c r="CD19" s="2"/>
      <c r="CE19" s="2"/>
      <c r="CF19" s="2"/>
      <c r="CG19" s="2"/>
      <c r="CH19" s="2"/>
      <c r="CI19" s="2"/>
      <c r="CJ19" s="2"/>
      <c r="CK19" s="2"/>
      <c r="CL19" s="2"/>
      <c r="CM19" s="2"/>
      <c r="CN19" s="2"/>
      <c r="CO19" s="2"/>
      <c r="CP19" s="2"/>
      <c r="CQ19" s="2"/>
      <c r="CR19" s="2"/>
      <c r="CS19" s="2"/>
      <c r="CT19" s="2"/>
      <c r="CU19" s="2"/>
      <c r="CV19" s="2"/>
      <c r="CW19" s="2"/>
      <c r="CX19" s="2"/>
      <c r="CY19" s="2"/>
      <c r="CZ19" s="2"/>
      <c r="DA19" s="2"/>
      <c r="DB19" s="2"/>
      <c r="DC19" s="2"/>
      <c r="DD19" s="2"/>
      <c r="DE19" s="2"/>
      <c r="DF19" s="2"/>
      <c r="DG19" s="2"/>
      <c r="DH19" s="2"/>
      <c r="DI19" s="2"/>
      <c r="DJ19" s="2"/>
      <c r="DK19" s="2"/>
      <c r="DL19" s="2"/>
      <c r="DM19" s="2"/>
      <c r="DN19" s="2"/>
      <c r="DO19" s="2"/>
      <c r="DP19" s="2"/>
      <c r="DQ19" s="2"/>
      <c r="DR19" s="2"/>
      <c r="DS19" s="2"/>
      <c r="DT19" s="2"/>
      <c r="DU19" s="2"/>
      <c r="DV19" s="2"/>
      <c r="DW19" s="2"/>
      <c r="DX19" s="2"/>
      <c r="DY19" s="2"/>
      <c r="DZ19" s="2"/>
      <c r="EA19" s="2"/>
      <c r="EB19" s="2"/>
      <c r="EC19" s="2"/>
      <c r="ED19" s="2"/>
      <c r="EE19" s="2"/>
      <c r="EF19" s="2"/>
      <c r="EG19" s="2"/>
      <c r="EH19" s="2"/>
      <c r="EI19" s="2"/>
      <c r="EJ19" s="2"/>
      <c r="EK19" s="2"/>
      <c r="EL19" s="2"/>
      <c r="EM19" s="2"/>
      <c r="EN19" s="2"/>
      <c r="EO19" s="2"/>
      <c r="EP19" s="2"/>
      <c r="EQ19" s="2"/>
      <c r="ER19" s="2"/>
      <c r="ES19" s="2"/>
      <c r="ET19" s="2"/>
      <c r="EU19" s="2"/>
      <c r="EV19" s="2"/>
      <c r="EW19" s="2"/>
      <c r="EX19" s="2"/>
      <c r="EY19" s="2"/>
      <c r="EZ19" s="2"/>
      <c r="FA19" s="2"/>
      <c r="FB19" s="2"/>
      <c r="FC19" s="2"/>
      <c r="FD19" s="2"/>
      <c r="FE19" s="2"/>
      <c r="FF19" s="2"/>
      <c r="FG19" s="2"/>
      <c r="FH19" s="2"/>
      <c r="FI19" s="2"/>
      <c r="FJ19" s="2"/>
      <c r="FK19" s="2"/>
      <c r="FL19" s="2"/>
      <c r="FM19" s="2"/>
      <c r="FN19" s="2"/>
      <c r="FO19" s="2"/>
      <c r="FP19" s="2"/>
      <c r="FQ19" s="2"/>
      <c r="FR19" s="2"/>
      <c r="FS19" s="2"/>
      <c r="FT19" s="2"/>
      <c r="FU19" s="2"/>
      <c r="FV19" s="2"/>
      <c r="FW19" s="2"/>
      <c r="FX19" s="2"/>
      <c r="FY19" s="2"/>
      <c r="FZ19" s="2"/>
      <c r="GA19" s="2"/>
      <c r="GB19" s="2"/>
      <c r="GC19" s="2"/>
      <c r="GD19" s="2"/>
      <c r="GE19" s="2"/>
      <c r="GF19" s="2"/>
      <c r="GG19" s="2"/>
      <c r="GH19" s="2"/>
      <c r="GI19" s="2"/>
      <c r="GJ19" s="2"/>
      <c r="GK19" s="2"/>
      <c r="GL19" s="2"/>
      <c r="GM19" s="2"/>
      <c r="GN19" s="2"/>
      <c r="GO19" s="2"/>
      <c r="GP19" s="2"/>
      <c r="GQ19" s="2"/>
      <c r="GR19" s="2"/>
      <c r="GS19" s="2"/>
      <c r="GT19" s="2"/>
      <c r="GU19" s="2"/>
      <c r="GV19" s="2"/>
      <c r="GW19" s="2"/>
      <c r="GX19" s="2"/>
      <c r="GY19" s="2"/>
      <c r="GZ19" s="2"/>
      <c r="HA19" s="2"/>
      <c r="HB19" s="2"/>
      <c r="HC19" s="2"/>
      <c r="HD19" s="2"/>
      <c r="HE19" s="2"/>
      <c r="HF19" s="2"/>
      <c r="HG19" s="2"/>
      <c r="HH19" s="2"/>
      <c r="HI19" s="2"/>
      <c r="HJ19" s="2"/>
      <c r="HK19" s="2"/>
      <c r="HL19" s="2"/>
      <c r="HM19" s="2"/>
      <c r="HN19" s="2"/>
      <c r="HO19" s="2"/>
      <c r="HP19" s="2"/>
      <c r="HQ19" s="2"/>
      <c r="HR19" s="2"/>
      <c r="HS19" s="2"/>
      <c r="HT19" s="2"/>
      <c r="HU19" s="2"/>
      <c r="HV19" s="2"/>
      <c r="HW19" s="2"/>
      <c r="HX19" s="2"/>
      <c r="HY19" s="2"/>
      <c r="HZ19" s="2"/>
      <c r="IA19" s="2"/>
      <c r="IB19" s="2"/>
      <c r="IC19" s="2"/>
      <c r="ID19" s="2"/>
      <c r="IE19" s="2"/>
      <c r="IF19" s="2"/>
      <c r="IG19" s="2"/>
      <c r="IH19" s="2"/>
      <c r="II19" s="2"/>
      <c r="IJ19" s="2"/>
      <c r="IK19" s="2"/>
      <c r="IL19" s="2"/>
      <c r="IM19" s="2"/>
      <c r="IN19" s="2"/>
      <c r="IO19" s="2"/>
      <c r="IP19" s="2"/>
      <c r="IQ19" s="2"/>
      <c r="IR19" s="2"/>
      <c r="IS19" s="2"/>
      <c r="IT19" s="2"/>
      <c r="IU19" s="2"/>
      <c r="IV19" s="2"/>
      <c r="IW19" s="2"/>
      <c r="IX19" s="2"/>
      <c r="IY19" s="2"/>
      <c r="IZ19" s="2"/>
      <c r="JA19" s="2"/>
      <c r="JB19" s="2"/>
      <c r="JC19" s="2"/>
      <c r="JD19" s="2"/>
      <c r="JE19" s="2"/>
      <c r="JF19" s="2"/>
      <c r="JG19" s="2"/>
      <c r="JH19" s="2"/>
      <c r="JI19" s="2"/>
      <c r="JJ19" s="2"/>
      <c r="JK19" s="2"/>
      <c r="JL19" s="2"/>
      <c r="JM19" s="2"/>
      <c r="JN19" s="2"/>
      <c r="JO19" s="2"/>
      <c r="JP19" s="2"/>
      <c r="JQ19" s="2"/>
      <c r="JR19" s="2"/>
      <c r="JS19" s="2"/>
      <c r="JT19" s="2"/>
      <c r="JU19" s="2"/>
      <c r="JV19" s="2"/>
      <c r="JW19" s="2"/>
      <c r="JX19" s="2"/>
      <c r="JY19" s="2"/>
      <c r="JZ19" s="2"/>
      <c r="KA19" s="2"/>
      <c r="KB19" s="2"/>
      <c r="KC19" s="2"/>
      <c r="KD19" s="2"/>
      <c r="KE19" s="2"/>
      <c r="KF19" s="2"/>
      <c r="KG19" s="2"/>
      <c r="KH19" s="2"/>
      <c r="KI19" s="2"/>
      <c r="KJ19" s="2"/>
      <c r="KK19" s="2"/>
      <c r="KL19" s="2"/>
      <c r="KM19" s="2"/>
      <c r="KN19" s="2"/>
      <c r="KO19" s="2"/>
      <c r="KP19" s="2"/>
      <c r="KQ19" s="2"/>
      <c r="KR19" s="2"/>
      <c r="KS19" s="2"/>
      <c r="KT19" s="2"/>
      <c r="KU19" s="2"/>
      <c r="KV19" s="2"/>
      <c r="KW19" s="2"/>
      <c r="KX19" s="2"/>
      <c r="KY19" s="2"/>
      <c r="KZ19" s="2"/>
      <c r="LA19" s="2"/>
      <c r="LB19" s="2"/>
      <c r="LC19" s="2"/>
      <c r="LD19" s="2"/>
      <c r="LE19" s="2"/>
      <c r="LF19" s="2"/>
      <c r="LG19" s="2"/>
      <c r="LH19" s="2"/>
      <c r="LI19" s="2"/>
      <c r="LJ19" s="2"/>
      <c r="LK19" s="2"/>
      <c r="LL19" s="2"/>
      <c r="LM19" s="2"/>
      <c r="LN19" s="2"/>
      <c r="LO19" s="2"/>
      <c r="LP19" s="2"/>
      <c r="LQ19" s="2"/>
      <c r="LR19" s="2"/>
      <c r="LS19" s="2"/>
      <c r="LT19" s="2"/>
      <c r="LU19" s="2"/>
      <c r="LV19" s="2"/>
      <c r="LW19" s="2"/>
      <c r="LX19" s="2"/>
      <c r="LY19" s="2"/>
      <c r="LZ19" s="2"/>
      <c r="MA19" s="2"/>
      <c r="MB19" s="2"/>
      <c r="MC19" s="2"/>
      <c r="MD19" s="2"/>
      <c r="ME19" s="2"/>
      <c r="MF19" s="2"/>
      <c r="MG19" s="2"/>
      <c r="MH19" s="2"/>
      <c r="MI19" s="2"/>
      <c r="MJ19" s="2"/>
      <c r="MK19" s="2"/>
      <c r="ML19" s="2"/>
      <c r="MM19" s="2"/>
      <c r="MN19" s="2"/>
      <c r="MO19" s="2"/>
      <c r="MP19" s="2"/>
      <c r="MQ19" s="2"/>
      <c r="MR19" s="2"/>
      <c r="MS19" s="2"/>
      <c r="MT19" s="2"/>
      <c r="MU19" s="2"/>
      <c r="MV19" s="2"/>
      <c r="MW19" s="2"/>
      <c r="MX19" s="2"/>
      <c r="MY19" s="2"/>
      <c r="MZ19" s="2"/>
      <c r="NA19" s="2"/>
      <c r="NB19" s="2"/>
      <c r="NC19" s="2"/>
      <c r="ND19" s="2"/>
      <c r="NE19" s="2"/>
      <c r="NF19" s="2"/>
      <c r="NG19" s="2"/>
      <c r="NH19" s="2"/>
      <c r="NI19" s="2"/>
      <c r="NJ19" s="2"/>
      <c r="NK19" s="2"/>
      <c r="NL19" s="2"/>
      <c r="NM19" s="2"/>
      <c r="NN19" s="2"/>
      <c r="NO19" s="2"/>
      <c r="NP19" s="2"/>
      <c r="NQ19" s="2"/>
      <c r="NR19" s="2"/>
      <c r="NS19" s="2"/>
      <c r="NT19" s="2"/>
      <c r="NU19" s="2"/>
      <c r="NV19" s="2"/>
      <c r="NW19" s="2"/>
      <c r="NX19" s="2"/>
      <c r="NY19" s="2"/>
      <c r="NZ19" s="2"/>
      <c r="OA19" s="2"/>
      <c r="OB19" s="2"/>
      <c r="OC19" s="2"/>
      <c r="OD19" s="2"/>
      <c r="OE19" s="2"/>
      <c r="OF19" s="2"/>
      <c r="OG19" s="2"/>
      <c r="OH19" s="2"/>
      <c r="OI19" s="2"/>
      <c r="OJ19" s="2"/>
      <c r="OK19" s="2"/>
      <c r="OL19" s="2"/>
      <c r="OM19" s="2"/>
      <c r="ON19" s="2"/>
      <c r="OO19" s="2"/>
      <c r="OP19" s="2"/>
      <c r="OQ19" s="2"/>
      <c r="OR19" s="2"/>
      <c r="OS19" s="2"/>
      <c r="OT19" s="2"/>
      <c r="OU19" s="2"/>
      <c r="OV19" s="2"/>
      <c r="OW19" s="2"/>
      <c r="OX19" s="2"/>
      <c r="OY19" s="2"/>
      <c r="OZ19" s="2"/>
      <c r="PA19" s="2"/>
      <c r="PB19" s="2"/>
      <c r="PC19" s="2"/>
      <c r="PD19" s="2"/>
      <c r="PE19" s="2"/>
      <c r="PF19" s="2"/>
      <c r="PG19" s="2"/>
      <c r="PH19" s="2"/>
      <c r="PI19" s="2"/>
      <c r="PJ19" s="2"/>
      <c r="PK19" s="2"/>
      <c r="PL19" s="2"/>
      <c r="PM19" s="2"/>
      <c r="PN19" s="2"/>
      <c r="PO19" s="2"/>
      <c r="PP19" s="2"/>
      <c r="PQ19" s="2"/>
      <c r="PR19" s="2"/>
      <c r="PS19" s="2"/>
      <c r="PT19" s="2"/>
      <c r="PU19" s="2"/>
      <c r="PV19" s="2"/>
      <c r="PW19" s="2"/>
      <c r="PX19" s="2"/>
      <c r="PY19" s="2"/>
      <c r="PZ19" s="2"/>
      <c r="QA19" s="2"/>
      <c r="QB19" s="2"/>
      <c r="QC19" s="2"/>
      <c r="QD19" s="2"/>
      <c r="QE19" s="2"/>
      <c r="QF19" s="2"/>
      <c r="QG19" s="2"/>
      <c r="QH19" s="2"/>
      <c r="QI19" s="2"/>
      <c r="QJ19" s="2"/>
      <c r="QK19" s="2"/>
      <c r="QL19" s="2"/>
      <c r="QM19" s="2"/>
      <c r="QN19" s="2"/>
      <c r="QO19" s="2"/>
      <c r="QP19" s="2"/>
      <c r="QQ19" s="2"/>
      <c r="QR19" s="2"/>
      <c r="QS19" s="2"/>
      <c r="QT19" s="2"/>
      <c r="QU19" s="2"/>
      <c r="QV19" s="2"/>
      <c r="QW19" s="2"/>
      <c r="QX19" s="2"/>
      <c r="QY19" s="2"/>
      <c r="QZ19" s="2"/>
      <c r="RA19" s="2"/>
      <c r="RB19" s="2"/>
      <c r="RC19" s="2"/>
      <c r="RD19" s="2"/>
      <c r="RE19" s="2"/>
      <c r="RF19" s="2"/>
      <c r="RG19" s="2"/>
      <c r="RH19" s="2"/>
      <c r="RI19" s="2"/>
      <c r="RJ19" s="2"/>
      <c r="RK19" s="2"/>
      <c r="RL19" s="2"/>
      <c r="RM19" s="2"/>
      <c r="RN19" s="2"/>
      <c r="RO19" s="2"/>
      <c r="RP19" s="2"/>
      <c r="RQ19" s="2"/>
      <c r="RR19" s="2"/>
      <c r="RS19" s="2"/>
      <c r="RT19" s="2"/>
      <c r="RU19" s="2"/>
      <c r="RV19" s="2"/>
      <c r="RW19" s="2"/>
      <c r="RX19" s="2"/>
      <c r="RY19" s="2"/>
      <c r="RZ19" s="2"/>
      <c r="SA19" s="2"/>
      <c r="SB19" s="2"/>
      <c r="SC19" s="2"/>
      <c r="SD19" s="2"/>
      <c r="SE19" s="2"/>
      <c r="SF19" s="2"/>
      <c r="SG19" s="2"/>
      <c r="SH19" s="2"/>
      <c r="SI19" s="2"/>
      <c r="SJ19" s="2"/>
      <c r="SK19" s="2"/>
      <c r="SL19" s="2"/>
      <c r="SM19" s="2"/>
      <c r="SN19" s="2"/>
      <c r="SO19" s="2"/>
      <c r="SP19" s="2"/>
      <c r="SQ19" s="2"/>
      <c r="SR19" s="2"/>
      <c r="SS19" s="2"/>
      <c r="ST19" s="2"/>
      <c r="SU19" s="2"/>
      <c r="SV19" s="2"/>
      <c r="SW19" s="2"/>
      <c r="SX19" s="2"/>
      <c r="SY19" s="2"/>
      <c r="SZ19" s="2"/>
      <c r="TA19" s="2"/>
      <c r="TB19" s="2"/>
      <c r="TC19" s="2"/>
      <c r="TD19" s="2"/>
      <c r="TE19" s="2"/>
      <c r="TF19" s="2"/>
      <c r="TG19" s="2"/>
      <c r="TH19" s="2"/>
      <c r="TI19" s="2"/>
      <c r="TJ19" s="2"/>
      <c r="TK19" s="2"/>
      <c r="TL19" s="2"/>
      <c r="TM19" s="2"/>
      <c r="TN19" s="2"/>
      <c r="TO19" s="2"/>
      <c r="TP19" s="2"/>
      <c r="TQ19" s="2"/>
      <c r="TR19" s="2"/>
      <c r="TS19" s="2"/>
      <c r="TT19" s="2"/>
      <c r="TU19" s="2"/>
      <c r="TV19" s="2"/>
      <c r="TW19" s="2"/>
      <c r="TX19" s="2"/>
      <c r="TY19" s="2"/>
      <c r="TZ19" s="2"/>
      <c r="UA19" s="2"/>
      <c r="UB19" s="2"/>
      <c r="UC19" s="2"/>
      <c r="UD19" s="2"/>
      <c r="UE19" s="2"/>
      <c r="UF19" s="2"/>
      <c r="UG19" s="2"/>
      <c r="UH19" s="2"/>
      <c r="UI19" s="2"/>
      <c r="UJ19" s="2"/>
      <c r="UK19" s="2"/>
      <c r="UL19" s="2"/>
      <c r="UM19" s="2"/>
      <c r="UN19" s="2"/>
      <c r="UO19" s="2"/>
      <c r="UP19" s="2"/>
      <c r="UQ19" s="2"/>
      <c r="UR19" s="2"/>
      <c r="US19" s="2"/>
      <c r="UT19" s="2"/>
      <c r="UU19" s="2"/>
      <c r="UV19" s="2"/>
      <c r="UW19" s="2"/>
      <c r="UX19" s="2"/>
      <c r="UY19" s="2"/>
      <c r="UZ19" s="2"/>
      <c r="VA19" s="2"/>
      <c r="VB19" s="2"/>
      <c r="VC19" s="2"/>
      <c r="VD19" s="2"/>
      <c r="VE19" s="2"/>
      <c r="VF19" s="2"/>
      <c r="VG19" s="2"/>
      <c r="VH19" s="2"/>
      <c r="VI19" s="2"/>
      <c r="VJ19" s="2"/>
      <c r="VK19" s="2"/>
      <c r="VL19" s="2"/>
      <c r="VM19" s="2"/>
      <c r="VN19" s="2"/>
      <c r="VO19" s="2"/>
      <c r="VP19" s="2"/>
      <c r="VQ19" s="2"/>
      <c r="VR19" s="2"/>
      <c r="VS19" s="2"/>
      <c r="VT19" s="2"/>
      <c r="VU19" s="2"/>
      <c r="VV19" s="2"/>
      <c r="VW19" s="2"/>
      <c r="VX19" s="2"/>
      <c r="VY19" s="2"/>
      <c r="VZ19" s="2"/>
      <c r="WA19" s="2"/>
      <c r="WB19" s="2"/>
      <c r="WC19" s="2"/>
      <c r="WD19" s="2"/>
      <c r="WE19" s="2"/>
      <c r="WF19" s="2"/>
      <c r="WG19" s="2"/>
      <c r="WH19" s="2"/>
      <c r="WI19" s="2"/>
      <c r="WJ19" s="2"/>
      <c r="WK19" s="2"/>
      <c r="WL19" s="2"/>
      <c r="WM19" s="2"/>
      <c r="WN19" s="2"/>
      <c r="WO19" s="2"/>
      <c r="WP19" s="2"/>
      <c r="WQ19" s="2"/>
      <c r="WR19" s="2"/>
      <c r="WS19" s="2"/>
      <c r="WT19" s="2"/>
      <c r="WU19" s="2"/>
      <c r="WV19" s="2"/>
      <c r="WW19" s="2"/>
      <c r="WX19" s="2"/>
      <c r="WY19" s="2"/>
      <c r="WZ19" s="2"/>
      <c r="XA19" s="2"/>
      <c r="XB19" s="2"/>
      <c r="XC19" s="2"/>
      <c r="XD19" s="2"/>
      <c r="XE19" s="2"/>
      <c r="XF19" s="2"/>
      <c r="XG19" s="2"/>
      <c r="XH19" s="2"/>
      <c r="XI19" s="2"/>
      <c r="XJ19" s="2"/>
      <c r="XK19" s="2"/>
      <c r="XL19" s="2"/>
      <c r="XM19" s="2"/>
      <c r="XN19" s="2"/>
      <c r="XO19" s="2"/>
      <c r="XP19" s="2"/>
      <c r="XQ19" s="2"/>
      <c r="XR19" s="2"/>
      <c r="XS19" s="2"/>
      <c r="XT19" s="2"/>
      <c r="XU19" s="2"/>
      <c r="XV19" s="2"/>
      <c r="XW19" s="2"/>
      <c r="XX19" s="2"/>
      <c r="XY19" s="2"/>
      <c r="XZ19" s="2"/>
      <c r="YA19" s="2"/>
      <c r="YB19" s="2"/>
      <c r="YC19" s="2"/>
      <c r="YD19" s="2"/>
      <c r="YE19" s="2"/>
      <c r="YF19" s="2"/>
      <c r="YG19" s="2"/>
      <c r="YH19" s="2"/>
      <c r="YI19" s="2"/>
      <c r="YJ19" s="2"/>
      <c r="YK19" s="2"/>
      <c r="YL19" s="2"/>
      <c r="YM19" s="2"/>
      <c r="YN19" s="2"/>
      <c r="YO19" s="2"/>
      <c r="YP19" s="2"/>
      <c r="YQ19" s="2"/>
      <c r="YR19" s="2"/>
      <c r="YS19" s="2"/>
      <c r="YT19" s="2"/>
      <c r="YU19" s="2"/>
      <c r="YV19" s="2"/>
      <c r="YW19" s="2"/>
      <c r="YX19" s="2"/>
      <c r="YY19" s="2"/>
      <c r="YZ19" s="2"/>
      <c r="ZA19" s="2"/>
      <c r="ZB19" s="2"/>
      <c r="ZC19" s="2"/>
      <c r="ZD19" s="2"/>
      <c r="ZE19" s="2"/>
      <c r="ZF19" s="2"/>
      <c r="ZG19" s="2"/>
      <c r="ZH19" s="2"/>
      <c r="ZI19" s="2"/>
      <c r="ZJ19" s="2"/>
      <c r="ZK19" s="2"/>
      <c r="ZL19" s="2"/>
      <c r="ZM19" s="2"/>
      <c r="ZN19" s="2"/>
      <c r="ZO19" s="2"/>
      <c r="ZP19" s="2"/>
      <c r="ZQ19" s="2"/>
      <c r="ZR19" s="2"/>
      <c r="ZS19" s="2"/>
      <c r="ZT19" s="2"/>
      <c r="ZU19" s="2"/>
      <c r="ZV19" s="2"/>
      <c r="ZW19" s="2"/>
      <c r="ZX19" s="2"/>
      <c r="ZY19" s="2"/>
      <c r="ZZ19" s="2"/>
      <c r="AAA19" s="2"/>
      <c r="AAB19" s="2"/>
      <c r="AAC19" s="2"/>
      <c r="AAD19" s="2"/>
      <c r="AAE19" s="2"/>
      <c r="AAF19" s="2"/>
      <c r="AAG19" s="2"/>
      <c r="AAH19" s="2"/>
      <c r="AAI19" s="2"/>
      <c r="AAJ19" s="2"/>
      <c r="AAK19" s="2"/>
      <c r="AAL19" s="2"/>
      <c r="AAM19" s="2"/>
      <c r="AAN19" s="2"/>
      <c r="AAO19" s="2"/>
      <c r="AAP19" s="2"/>
      <c r="AAQ19" s="2"/>
      <c r="AAR19" s="2"/>
      <c r="AAS19" s="2"/>
      <c r="AAT19" s="2"/>
      <c r="AAU19" s="2"/>
      <c r="AAV19" s="2"/>
      <c r="AAW19" s="2"/>
      <c r="AAX19" s="2"/>
      <c r="AAY19" s="2"/>
      <c r="AAZ19" s="2"/>
      <c r="ABA19" s="2"/>
      <c r="ABB19" s="2"/>
      <c r="ABC19" s="2"/>
      <c r="ABD19" s="2"/>
      <c r="ABE19" s="2"/>
      <c r="ABF19" s="2"/>
      <c r="ABG19" s="2"/>
      <c r="ABH19" s="2"/>
      <c r="ABI19" s="2"/>
      <c r="ABJ19" s="2"/>
      <c r="ABK19" s="2"/>
      <c r="ABL19" s="2"/>
      <c r="ABM19" s="2"/>
      <c r="ABN19" s="2"/>
      <c r="ABO19" s="2"/>
      <c r="ABP19" s="2"/>
      <c r="ABQ19" s="2"/>
      <c r="ABR19" s="2"/>
      <c r="ABS19" s="2"/>
      <c r="ABT19" s="2"/>
      <c r="ABU19" s="2"/>
      <c r="ABV19" s="2"/>
      <c r="ABW19" s="2"/>
      <c r="ABX19" s="2"/>
      <c r="ABY19" s="2"/>
      <c r="ABZ19" s="2"/>
      <c r="ACA19" s="2"/>
      <c r="ACB19" s="2"/>
      <c r="ACC19" s="2"/>
      <c r="ACD19" s="2"/>
      <c r="ACE19" s="2"/>
      <c r="ACF19" s="2"/>
      <c r="ACG19" s="2"/>
      <c r="ACH19" s="2"/>
      <c r="ACI19" s="2"/>
      <c r="ACJ19" s="2"/>
      <c r="ACK19" s="2"/>
      <c r="ACL19" s="2"/>
      <c r="ACM19" s="2"/>
      <c r="ACN19" s="2"/>
      <c r="ACO19" s="2"/>
      <c r="ACP19" s="2"/>
      <c r="ACQ19" s="2"/>
      <c r="ACR19" s="2"/>
      <c r="ACS19" s="2"/>
      <c r="ACT19" s="2"/>
      <c r="ACU19" s="2"/>
      <c r="ACV19" s="2"/>
      <c r="ACW19" s="2"/>
      <c r="ACX19" s="2"/>
      <c r="ACY19" s="2"/>
      <c r="ACZ19" s="2"/>
      <c r="ADA19" s="2"/>
      <c r="ADB19" s="2"/>
      <c r="ADC19" s="2"/>
      <c r="ADD19" s="2"/>
      <c r="ADE19" s="2"/>
      <c r="ADF19" s="2"/>
      <c r="ADG19" s="2"/>
      <c r="ADH19" s="2"/>
      <c r="ADI19" s="2"/>
      <c r="ADJ19" s="2"/>
      <c r="ADK19" s="2"/>
      <c r="ADL19" s="2"/>
      <c r="ADM19" s="2"/>
      <c r="ADN19" s="2"/>
      <c r="ADO19" s="2"/>
      <c r="ADP19" s="2"/>
      <c r="ADQ19" s="2"/>
      <c r="ADR19" s="2"/>
      <c r="ADS19" s="2"/>
      <c r="ADT19" s="2"/>
      <c r="ADU19" s="2"/>
      <c r="ADV19" s="2"/>
      <c r="ADW19" s="2"/>
      <c r="ADX19" s="2"/>
      <c r="ADY19" s="2"/>
      <c r="ADZ19" s="2"/>
      <c r="AEA19" s="2"/>
      <c r="AEB19" s="2"/>
      <c r="AEC19" s="2"/>
      <c r="AED19" s="2"/>
      <c r="AEE19" s="2"/>
      <c r="AEF19" s="2"/>
      <c r="AEG19" s="2"/>
      <c r="AEH19" s="2"/>
      <c r="AEI19" s="2"/>
      <c r="AEJ19" s="2"/>
      <c r="AEK19" s="2"/>
      <c r="AEL19" s="2"/>
      <c r="AEM19" s="2"/>
      <c r="AEN19" s="2"/>
      <c r="AEO19" s="2"/>
      <c r="AEP19" s="2"/>
      <c r="AEQ19" s="2"/>
      <c r="AER19" s="2"/>
      <c r="AES19" s="2"/>
      <c r="AET19" s="2"/>
      <c r="AEU19" s="2"/>
      <c r="AEV19" s="2"/>
      <c r="AEW19" s="2"/>
      <c r="AEX19" s="2"/>
      <c r="AEY19" s="2"/>
      <c r="AEZ19" s="2"/>
      <c r="AFA19" s="2"/>
      <c r="AFB19" s="2"/>
      <c r="AFC19" s="2"/>
      <c r="AFD19" s="2"/>
      <c r="AFE19" s="2"/>
      <c r="AFF19" s="2"/>
      <c r="AFG19" s="2"/>
      <c r="AFH19" s="2"/>
      <c r="AFI19" s="2"/>
      <c r="AFJ19" s="2"/>
      <c r="AFK19" s="2"/>
      <c r="AFL19" s="2"/>
      <c r="AFM19" s="2"/>
      <c r="AFN19" s="2"/>
      <c r="AFO19" s="2"/>
      <c r="AFP19" s="2"/>
      <c r="AFQ19" s="2"/>
      <c r="AFR19" s="2"/>
      <c r="AFS19" s="2"/>
      <c r="AFT19" s="2"/>
      <c r="AFU19" s="2"/>
      <c r="AFV19" s="2"/>
      <c r="AFW19" s="2"/>
      <c r="AFX19" s="2"/>
      <c r="AFY19" s="2"/>
      <c r="AFZ19" s="2"/>
      <c r="AGA19" s="2"/>
      <c r="AGB19" s="2"/>
      <c r="AGC19" s="2"/>
      <c r="AGD19" s="2"/>
      <c r="AGE19" s="2"/>
      <c r="AGF19" s="2"/>
      <c r="AGG19" s="2"/>
      <c r="AGH19" s="2"/>
      <c r="AGI19" s="2"/>
      <c r="AGJ19" s="2"/>
      <c r="AGK19" s="2"/>
      <c r="AGL19" s="2"/>
      <c r="AGM19" s="2"/>
      <c r="AGN19" s="2"/>
      <c r="AGO19" s="2"/>
      <c r="AGP19" s="2"/>
      <c r="AGQ19" s="2"/>
      <c r="AGR19" s="2"/>
      <c r="AGS19" s="2"/>
      <c r="AGT19" s="2"/>
      <c r="AGU19" s="2"/>
      <c r="AGV19" s="2"/>
      <c r="AGW19" s="2"/>
      <c r="AGX19" s="2"/>
      <c r="AGY19" s="2"/>
      <c r="AGZ19" s="2"/>
      <c r="AHA19" s="2"/>
      <c r="AHB19" s="2"/>
      <c r="AHC19" s="2"/>
      <c r="AHD19" s="2"/>
      <c r="AHE19" s="2"/>
      <c r="AHF19" s="2"/>
      <c r="AHG19" s="2"/>
      <c r="AHH19" s="2"/>
      <c r="AHI19" s="2"/>
      <c r="AHJ19" s="2"/>
      <c r="AHK19" s="2"/>
      <c r="AHL19" s="2"/>
      <c r="AHM19" s="2"/>
      <c r="AHN19" s="2"/>
      <c r="AHO19" s="2"/>
      <c r="AHP19" s="2"/>
      <c r="AHQ19" s="2"/>
      <c r="AHR19" s="2"/>
      <c r="AHS19" s="2"/>
      <c r="AHT19" s="2"/>
      <c r="AHU19" s="2"/>
      <c r="AHV19" s="2"/>
      <c r="AHW19" s="2"/>
      <c r="AHX19" s="2"/>
      <c r="AHY19" s="2"/>
      <c r="AHZ19" s="2"/>
      <c r="AIA19" s="2"/>
      <c r="AIB19" s="2"/>
      <c r="AIC19" s="2"/>
      <c r="AID19" s="2"/>
      <c r="AIE19" s="2"/>
      <c r="AIF19" s="2"/>
      <c r="AIG19" s="2"/>
      <c r="AIH19" s="2"/>
      <c r="AII19" s="2"/>
      <c r="AIJ19" s="2"/>
      <c r="AIK19" s="2"/>
      <c r="AIL19" s="2"/>
      <c r="AIM19" s="2"/>
      <c r="AIN19" s="2"/>
      <c r="AIO19" s="2"/>
      <c r="AIP19" s="2"/>
      <c r="AIQ19" s="2"/>
      <c r="AIR19" s="2"/>
      <c r="AIS19" s="2"/>
      <c r="AIT19" s="2"/>
      <c r="AIU19" s="2"/>
      <c r="AIV19" s="2"/>
      <c r="AIW19" s="2"/>
      <c r="AIX19" s="2"/>
      <c r="AIY19" s="2"/>
      <c r="AIZ19" s="2"/>
      <c r="AJA19" s="2"/>
      <c r="AJB19" s="2"/>
      <c r="AJC19" s="2"/>
      <c r="AJD19" s="2"/>
      <c r="AJE19" s="2"/>
      <c r="AJF19" s="2"/>
      <c r="AJG19" s="2"/>
      <c r="AJH19" s="2"/>
      <c r="AJI19" s="2"/>
      <c r="AJJ19" s="2"/>
      <c r="AJK19" s="2"/>
      <c r="AJL19" s="2"/>
      <c r="AJM19" s="2"/>
      <c r="AJN19" s="2"/>
      <c r="AJO19" s="2"/>
      <c r="AJP19" s="2"/>
      <c r="AJQ19" s="2"/>
      <c r="AJR19" s="2"/>
      <c r="AJS19" s="2"/>
      <c r="AJT19" s="2"/>
      <c r="AJU19" s="2"/>
      <c r="AJV19" s="2"/>
      <c r="AJW19" s="2"/>
      <c r="AJX19" s="2"/>
      <c r="AJY19" s="2"/>
      <c r="AJZ19" s="2"/>
      <c r="AKA19" s="2"/>
      <c r="AKB19" s="2"/>
      <c r="AKC19" s="2"/>
      <c r="AKD19" s="2"/>
      <c r="AKE19" s="2"/>
      <c r="AKF19" s="2"/>
      <c r="AKG19" s="2"/>
      <c r="AKH19" s="2"/>
      <c r="AKI19" s="2"/>
      <c r="AKJ19" s="2"/>
      <c r="AKK19" s="2"/>
      <c r="AKL19" s="2"/>
      <c r="AKM19" s="2"/>
      <c r="AKN19" s="2"/>
      <c r="AKO19" s="2"/>
      <c r="AKP19" s="2"/>
      <c r="AKQ19" s="2"/>
      <c r="AKR19" s="2"/>
      <c r="AKS19" s="2"/>
      <c r="AKT19" s="2"/>
      <c r="AKU19" s="2"/>
      <c r="AKV19" s="2"/>
      <c r="AKW19" s="2"/>
      <c r="AKX19" s="2"/>
      <c r="AKY19" s="2"/>
      <c r="AKZ19" s="2"/>
      <c r="ALA19" s="2"/>
      <c r="ALB19" s="2"/>
      <c r="ALC19" s="2"/>
      <c r="ALD19" s="2"/>
      <c r="ALE19" s="2"/>
      <c r="ALF19" s="2"/>
      <c r="ALG19" s="2"/>
      <c r="ALH19" s="2"/>
      <c r="ALI19" s="2"/>
      <c r="ALJ19" s="2"/>
      <c r="ALK19" s="2"/>
      <c r="ALL19" s="2"/>
      <c r="ALM19" s="2"/>
      <c r="ALN19" s="2"/>
      <c r="ALO19" s="2"/>
      <c r="ALP19" s="2"/>
      <c r="ALQ19" s="2"/>
      <c r="ALR19" s="2"/>
      <c r="ALS19" s="2"/>
      <c r="ALT19" s="2"/>
      <c r="ALU19" s="2"/>
      <c r="ALV19" s="2"/>
      <c r="ALW19" s="2"/>
      <c r="ALX19" s="2"/>
    </row>
    <row r="20" customFormat="false" ht="15" hidden="false" customHeight="true" outlineLevel="0" collapsed="false">
      <c r="A20" s="2"/>
      <c r="B20" s="22" t="s">
        <v>100</v>
      </c>
      <c r="C20" s="64" t="n">
        <f aca="false">VLOOKUP($B20,Unidades!$D$5:$N$28,6,FALSE())</f>
        <v>1187</v>
      </c>
      <c r="D20" s="64" t="n">
        <f aca="false">VLOOKUP($B20,Unidades!$D$5:$N$28,7,FALSE())</f>
        <v>1027</v>
      </c>
      <c r="E20" s="64" t="n">
        <f aca="false">VLOOKUP($B20,Unidades!$D$5:$N$28,8,FALSE())</f>
        <v>155</v>
      </c>
      <c r="F20" s="64" t="n">
        <f aca="false">VLOOKUP($B20,Unidades!$D$5:$N$28,9,FALSE())</f>
        <v>5</v>
      </c>
      <c r="G20" s="64" t="n">
        <f aca="false">D20+E20*$E$6+F20*$F$6</f>
        <v>1081.75</v>
      </c>
      <c r="H20" s="65" t="n">
        <f aca="false">IF(G20&lt;750,1.5,IF(G20&lt;2000,2,3))</f>
        <v>2</v>
      </c>
      <c r="I20" s="65" t="n">
        <f aca="false">$I$6*H20</f>
        <v>2.4</v>
      </c>
      <c r="J20" s="65" t="str">
        <f aca="false">VLOOKUP($B20,Unidades!$D$5:$N$28,10,FALSE())</f>
        <v>SIM</v>
      </c>
      <c r="K20" s="65" t="str">
        <f aca="false">VLOOKUP($B20,Unidades!$D$5:$N$28,11,FALSE())</f>
        <v>SIM</v>
      </c>
      <c r="L20" s="65" t="n">
        <f aca="false">$L$6*H20+(IF(J20="SIM",$J$6,0))</f>
        <v>4.2</v>
      </c>
      <c r="M20" s="65" t="n">
        <f aca="false">$M$6*H20+(IF(J20="SIM",$J$6,0))+(IF(K20="SIM",$K$6,0))</f>
        <v>8.2</v>
      </c>
      <c r="N20" s="65" t="n">
        <f aca="false">H20*12+I20*4+L20*2+M20</f>
        <v>50.2</v>
      </c>
      <c r="O20" s="66" t="n">
        <f aca="false">IF(K20="não", N20*(C$24+D$24),N20*(C$24+D$24)+(M20*+E$24))</f>
        <v>3173.238</v>
      </c>
      <c r="P20" s="67"/>
      <c r="Q20" s="22" t="str">
        <f aca="false">B20</f>
        <v>GEX CHAPECÓ</v>
      </c>
      <c r="R20" s="24" t="n">
        <f aca="false">H20*($C$24+$D$24)</f>
        <v>113</v>
      </c>
      <c r="S20" s="24" t="n">
        <f aca="false">I20*($C$24+$D$24)</f>
        <v>135.6</v>
      </c>
      <c r="T20" s="24" t="n">
        <f aca="false">L20*($C$24+$D$24)</f>
        <v>237.3</v>
      </c>
      <c r="U20" s="24" t="n">
        <f aca="false">IF(K20="não",M20*($C$24+$D$24),M20*(C$24+D$24+E$24))</f>
        <v>800.238</v>
      </c>
      <c r="V20" s="24" t="n">
        <f aca="false">VLOOKUP(Q20,'Desl. Base Chapecó'!$C$5:$S$18,13,FALSE())*($C$24+$D$24+$E$24*(VLOOKUP(Q20,'Desl. Base Chapecó'!$C$5:$S$18,17,FALSE())/12))</f>
        <v>1.99747222222222</v>
      </c>
      <c r="W20" s="24" t="n">
        <f aca="false">VLOOKUP(Q20,'Desl. Base Chapecó'!$C$5:$S$19,15,FALSE())*(2+(VLOOKUP(Q20,'Desl. Base Chapecó'!$C$5:$S$19,17,FALSE())/12))</f>
        <v>0</v>
      </c>
      <c r="X20" s="24" t="n">
        <f aca="false">VLOOKUP(Q20,'Desl. Base Chapecó'!$C$5:$Q$18,14,FALSE())</f>
        <v>0</v>
      </c>
      <c r="Y20" s="24" t="n">
        <f aca="false">VLOOKUP(Q20,'Desl. Base Chapecó'!$C$5:$Q$18,13,FALSE())*'Desl. Base Chapecó'!$E$23+'Desl. Base Chapecó'!$E$24*N20/12</f>
        <v>30.8081666666667</v>
      </c>
      <c r="Z20" s="24" t="n">
        <f aca="false">(H20/$AC$5)*'Equipe Técnica'!$C$13</f>
        <v>368.571160756132</v>
      </c>
      <c r="AA20" s="24" t="n">
        <f aca="false">(I20/$AC$5)*'Equipe Técnica'!$C$13</f>
        <v>442.285392907358</v>
      </c>
      <c r="AB20" s="24" t="n">
        <f aca="false">(L20/$AC$5)*'Equipe Técnica'!$C$13</f>
        <v>773.999437587877</v>
      </c>
      <c r="AC20" s="24" t="n">
        <f aca="false">(M20/$AC$5)*'Equipe Técnica'!$C$13</f>
        <v>1511.14175910014</v>
      </c>
      <c r="AD20" s="24" t="n">
        <f aca="false">R20+(($V20+$W20+$X20+$Y20)*12/19)+$Z20</f>
        <v>502.290511633325</v>
      </c>
      <c r="AE20" s="24" t="n">
        <f aca="false">S20+(($V20+$W20+$X20+$Y20)*12/19)+$AA20</f>
        <v>598.604743784551</v>
      </c>
      <c r="AF20" s="24" t="n">
        <f aca="false">T20+(($V20+$W20+$X20+$Y20)*12/19)+$AB20</f>
        <v>1032.01878846507</v>
      </c>
      <c r="AG20" s="24" t="n">
        <f aca="false">U20+(($V20+$W20+$X20+$Y20)*12/19)+$AC20</f>
        <v>2332.09910997733</v>
      </c>
      <c r="AH20" s="2"/>
      <c r="AI20" s="22" t="str">
        <f aca="false">B20</f>
        <v>GEX CHAPECÓ</v>
      </c>
      <c r="AJ20" s="68" t="n">
        <f aca="false">VLOOKUP(AI20,Unidades!D$5:H$28,5,)</f>
        <v>0.2223</v>
      </c>
      <c r="AK20" s="48" t="n">
        <f aca="false">AD20*(1+$AJ20)</f>
        <v>613.949692369413</v>
      </c>
      <c r="AL20" s="48" t="n">
        <f aca="false">AE20*(1+$AJ20)</f>
        <v>731.674578327857</v>
      </c>
      <c r="AM20" s="48" t="n">
        <f aca="false">AF20*(1+$AJ20)</f>
        <v>1261.43656514086</v>
      </c>
      <c r="AN20" s="48" t="n">
        <f aca="false">AG20*(1+$AJ20)</f>
        <v>2850.52474212529</v>
      </c>
      <c r="AO20" s="48" t="n">
        <f aca="false">((AK20*12)+(AL20*4)+(AM20*2)+AN20)/12</f>
        <v>1305.62437451262</v>
      </c>
      <c r="AP20" s="48" t="n">
        <f aca="false">AO20*3</f>
        <v>3916.87312353785</v>
      </c>
      <c r="AQ20" s="48" t="n">
        <f aca="false">AO20+AP20</f>
        <v>5222.49749805046</v>
      </c>
      <c r="AR20" s="69"/>
      <c r="AS20" s="69"/>
      <c r="AT20" s="69"/>
      <c r="AU20" s="69"/>
      <c r="AV20" s="69"/>
      <c r="AW20" s="69"/>
      <c r="AX20" s="2"/>
      <c r="AY20" s="2"/>
      <c r="AZ20" s="2"/>
      <c r="BA20" s="2"/>
      <c r="BB20" s="2"/>
      <c r="BC20" s="2"/>
      <c r="BD20" s="2"/>
      <c r="BE20" s="2"/>
      <c r="BF20" s="2"/>
      <c r="BG20" s="2"/>
      <c r="BH20" s="2"/>
      <c r="BI20" s="2"/>
      <c r="BJ20" s="2"/>
      <c r="BK20" s="2"/>
      <c r="BL20" s="2"/>
      <c r="BM20" s="2"/>
      <c r="BN20" s="2"/>
      <c r="BO20" s="2"/>
      <c r="BP20" s="2"/>
      <c r="BQ20" s="2"/>
      <c r="BR20" s="2"/>
      <c r="BS20" s="2"/>
      <c r="BT20" s="2"/>
      <c r="BU20" s="2"/>
      <c r="BV20" s="2"/>
      <c r="BW20" s="2"/>
      <c r="BX20" s="2"/>
      <c r="BY20" s="2"/>
      <c r="BZ20" s="2"/>
      <c r="CA20" s="2"/>
      <c r="CB20" s="2"/>
      <c r="CC20" s="2"/>
      <c r="CD20" s="2"/>
      <c r="CE20" s="2"/>
      <c r="CF20" s="2"/>
      <c r="CG20" s="2"/>
      <c r="CH20" s="2"/>
      <c r="CI20" s="2"/>
      <c r="CJ20" s="2"/>
      <c r="CK20" s="2"/>
      <c r="CL20" s="2"/>
      <c r="CM20" s="2"/>
      <c r="CN20" s="2"/>
      <c r="CO20" s="2"/>
      <c r="CP20" s="2"/>
      <c r="CQ20" s="2"/>
      <c r="CR20" s="2"/>
      <c r="CS20" s="2"/>
      <c r="CT20" s="2"/>
      <c r="CU20" s="2"/>
      <c r="CV20" s="2"/>
      <c r="CW20" s="2"/>
      <c r="CX20" s="2"/>
      <c r="CY20" s="2"/>
      <c r="CZ20" s="2"/>
      <c r="DA20" s="2"/>
      <c r="DB20" s="2"/>
      <c r="DC20" s="2"/>
      <c r="DD20" s="2"/>
      <c r="DE20" s="2"/>
      <c r="DF20" s="2"/>
      <c r="DG20" s="2"/>
      <c r="DH20" s="2"/>
      <c r="DI20" s="2"/>
      <c r="DJ20" s="2"/>
      <c r="DK20" s="2"/>
      <c r="DL20" s="2"/>
      <c r="DM20" s="2"/>
      <c r="DN20" s="2"/>
      <c r="DO20" s="2"/>
      <c r="DP20" s="2"/>
      <c r="DQ20" s="2"/>
      <c r="DR20" s="2"/>
      <c r="DS20" s="2"/>
      <c r="DT20" s="2"/>
      <c r="DU20" s="2"/>
      <c r="DV20" s="2"/>
      <c r="DW20" s="2"/>
      <c r="DX20" s="2"/>
      <c r="DY20" s="2"/>
      <c r="DZ20" s="2"/>
      <c r="EA20" s="2"/>
      <c r="EB20" s="2"/>
      <c r="EC20" s="2"/>
      <c r="ED20" s="2"/>
      <c r="EE20" s="2"/>
      <c r="EF20" s="2"/>
      <c r="EG20" s="2"/>
      <c r="EH20" s="2"/>
      <c r="EI20" s="2"/>
      <c r="EJ20" s="2"/>
      <c r="EK20" s="2"/>
      <c r="EL20" s="2"/>
      <c r="EM20" s="2"/>
      <c r="EN20" s="2"/>
      <c r="EO20" s="2"/>
      <c r="EP20" s="2"/>
      <c r="EQ20" s="2"/>
      <c r="ER20" s="2"/>
      <c r="ES20" s="2"/>
      <c r="ET20" s="2"/>
      <c r="EU20" s="2"/>
      <c r="EV20" s="2"/>
      <c r="EW20" s="2"/>
      <c r="EX20" s="2"/>
      <c r="EY20" s="2"/>
      <c r="EZ20" s="2"/>
      <c r="FA20" s="2"/>
      <c r="FB20" s="2"/>
      <c r="FC20" s="2"/>
      <c r="FD20" s="2"/>
      <c r="FE20" s="2"/>
      <c r="FF20" s="2"/>
      <c r="FG20" s="2"/>
      <c r="FH20" s="2"/>
      <c r="FI20" s="2"/>
      <c r="FJ20" s="2"/>
      <c r="FK20" s="2"/>
      <c r="FL20" s="2"/>
      <c r="FM20" s="2"/>
      <c r="FN20" s="2"/>
      <c r="FO20" s="2"/>
      <c r="FP20" s="2"/>
      <c r="FQ20" s="2"/>
      <c r="FR20" s="2"/>
      <c r="FS20" s="2"/>
      <c r="FT20" s="2"/>
      <c r="FU20" s="2"/>
      <c r="FV20" s="2"/>
      <c r="FW20" s="2"/>
      <c r="FX20" s="2"/>
      <c r="FY20" s="2"/>
      <c r="FZ20" s="2"/>
      <c r="GA20" s="2"/>
      <c r="GB20" s="2"/>
      <c r="GC20" s="2"/>
      <c r="GD20" s="2"/>
      <c r="GE20" s="2"/>
      <c r="GF20" s="2"/>
      <c r="GG20" s="2"/>
      <c r="GH20" s="2"/>
      <c r="GI20" s="2"/>
      <c r="GJ20" s="2"/>
      <c r="GK20" s="2"/>
      <c r="GL20" s="2"/>
      <c r="GM20" s="2"/>
      <c r="GN20" s="2"/>
      <c r="GO20" s="2"/>
      <c r="GP20" s="2"/>
      <c r="GQ20" s="2"/>
      <c r="GR20" s="2"/>
      <c r="GS20" s="2"/>
      <c r="GT20" s="2"/>
      <c r="GU20" s="2"/>
      <c r="GV20" s="2"/>
      <c r="GW20" s="2"/>
      <c r="GX20" s="2"/>
      <c r="GY20" s="2"/>
      <c r="GZ20" s="2"/>
      <c r="HA20" s="2"/>
      <c r="HB20" s="2"/>
      <c r="HC20" s="2"/>
      <c r="HD20" s="2"/>
      <c r="HE20" s="2"/>
      <c r="HF20" s="2"/>
      <c r="HG20" s="2"/>
      <c r="HH20" s="2"/>
      <c r="HI20" s="2"/>
      <c r="HJ20" s="2"/>
      <c r="HK20" s="2"/>
      <c r="HL20" s="2"/>
      <c r="HM20" s="2"/>
      <c r="HN20" s="2"/>
      <c r="HO20" s="2"/>
      <c r="HP20" s="2"/>
      <c r="HQ20" s="2"/>
      <c r="HR20" s="2"/>
      <c r="HS20" s="2"/>
      <c r="HT20" s="2"/>
      <c r="HU20" s="2"/>
      <c r="HV20" s="2"/>
      <c r="HW20" s="2"/>
      <c r="HX20" s="2"/>
      <c r="HY20" s="2"/>
      <c r="HZ20" s="2"/>
      <c r="IA20" s="2"/>
      <c r="IB20" s="2"/>
      <c r="IC20" s="2"/>
      <c r="ID20" s="2"/>
      <c r="IE20" s="2"/>
      <c r="IF20" s="2"/>
      <c r="IG20" s="2"/>
      <c r="IH20" s="2"/>
      <c r="II20" s="2"/>
      <c r="IJ20" s="2"/>
      <c r="IK20" s="2"/>
      <c r="IL20" s="2"/>
      <c r="IM20" s="2"/>
      <c r="IN20" s="2"/>
      <c r="IO20" s="2"/>
      <c r="IP20" s="2"/>
      <c r="IQ20" s="2"/>
      <c r="IR20" s="2"/>
      <c r="IS20" s="2"/>
      <c r="IT20" s="2"/>
      <c r="IU20" s="2"/>
      <c r="IV20" s="2"/>
      <c r="IW20" s="2"/>
      <c r="IX20" s="2"/>
      <c r="IY20" s="2"/>
      <c r="IZ20" s="2"/>
      <c r="JA20" s="2"/>
      <c r="JB20" s="2"/>
      <c r="JC20" s="2"/>
      <c r="JD20" s="2"/>
      <c r="JE20" s="2"/>
      <c r="JF20" s="2"/>
      <c r="JG20" s="2"/>
      <c r="JH20" s="2"/>
      <c r="JI20" s="2"/>
      <c r="JJ20" s="2"/>
      <c r="JK20" s="2"/>
      <c r="JL20" s="2"/>
      <c r="JM20" s="2"/>
      <c r="JN20" s="2"/>
      <c r="JO20" s="2"/>
      <c r="JP20" s="2"/>
      <c r="JQ20" s="2"/>
      <c r="JR20" s="2"/>
      <c r="JS20" s="2"/>
      <c r="JT20" s="2"/>
      <c r="JU20" s="2"/>
      <c r="JV20" s="2"/>
      <c r="JW20" s="2"/>
      <c r="JX20" s="2"/>
      <c r="JY20" s="2"/>
      <c r="JZ20" s="2"/>
      <c r="KA20" s="2"/>
      <c r="KB20" s="2"/>
      <c r="KC20" s="2"/>
      <c r="KD20" s="2"/>
      <c r="KE20" s="2"/>
      <c r="KF20" s="2"/>
      <c r="KG20" s="2"/>
      <c r="KH20" s="2"/>
      <c r="KI20" s="2"/>
      <c r="KJ20" s="2"/>
      <c r="KK20" s="2"/>
      <c r="KL20" s="2"/>
      <c r="KM20" s="2"/>
      <c r="KN20" s="2"/>
      <c r="KO20" s="2"/>
      <c r="KP20" s="2"/>
      <c r="KQ20" s="2"/>
      <c r="KR20" s="2"/>
      <c r="KS20" s="2"/>
      <c r="KT20" s="2"/>
      <c r="KU20" s="2"/>
      <c r="KV20" s="2"/>
      <c r="KW20" s="2"/>
      <c r="KX20" s="2"/>
      <c r="KY20" s="2"/>
      <c r="KZ20" s="2"/>
      <c r="LA20" s="2"/>
      <c r="LB20" s="2"/>
      <c r="LC20" s="2"/>
      <c r="LD20" s="2"/>
      <c r="LE20" s="2"/>
      <c r="LF20" s="2"/>
      <c r="LG20" s="2"/>
      <c r="LH20" s="2"/>
      <c r="LI20" s="2"/>
      <c r="LJ20" s="2"/>
      <c r="LK20" s="2"/>
      <c r="LL20" s="2"/>
      <c r="LM20" s="2"/>
      <c r="LN20" s="2"/>
      <c r="LO20" s="2"/>
      <c r="LP20" s="2"/>
      <c r="LQ20" s="2"/>
      <c r="LR20" s="2"/>
      <c r="LS20" s="2"/>
      <c r="LT20" s="2"/>
      <c r="LU20" s="2"/>
      <c r="LV20" s="2"/>
      <c r="LW20" s="2"/>
      <c r="LX20" s="2"/>
      <c r="LY20" s="2"/>
      <c r="LZ20" s="2"/>
      <c r="MA20" s="2"/>
      <c r="MB20" s="2"/>
      <c r="MC20" s="2"/>
      <c r="MD20" s="2"/>
      <c r="ME20" s="2"/>
      <c r="MF20" s="2"/>
      <c r="MG20" s="2"/>
      <c r="MH20" s="2"/>
      <c r="MI20" s="2"/>
      <c r="MJ20" s="2"/>
      <c r="MK20" s="2"/>
      <c r="ML20" s="2"/>
      <c r="MM20" s="2"/>
      <c r="MN20" s="2"/>
      <c r="MO20" s="2"/>
      <c r="MP20" s="2"/>
      <c r="MQ20" s="2"/>
      <c r="MR20" s="2"/>
      <c r="MS20" s="2"/>
      <c r="MT20" s="2"/>
      <c r="MU20" s="2"/>
      <c r="MV20" s="2"/>
      <c r="MW20" s="2"/>
      <c r="MX20" s="2"/>
      <c r="MY20" s="2"/>
      <c r="MZ20" s="2"/>
      <c r="NA20" s="2"/>
      <c r="NB20" s="2"/>
      <c r="NC20" s="2"/>
      <c r="ND20" s="2"/>
      <c r="NE20" s="2"/>
      <c r="NF20" s="2"/>
      <c r="NG20" s="2"/>
      <c r="NH20" s="2"/>
      <c r="NI20" s="2"/>
      <c r="NJ20" s="2"/>
      <c r="NK20" s="2"/>
      <c r="NL20" s="2"/>
      <c r="NM20" s="2"/>
      <c r="NN20" s="2"/>
      <c r="NO20" s="2"/>
      <c r="NP20" s="2"/>
      <c r="NQ20" s="2"/>
      <c r="NR20" s="2"/>
      <c r="NS20" s="2"/>
      <c r="NT20" s="2"/>
      <c r="NU20" s="2"/>
      <c r="NV20" s="2"/>
      <c r="NW20" s="2"/>
      <c r="NX20" s="2"/>
      <c r="NY20" s="2"/>
      <c r="NZ20" s="2"/>
      <c r="OA20" s="2"/>
      <c r="OB20" s="2"/>
      <c r="OC20" s="2"/>
      <c r="OD20" s="2"/>
      <c r="OE20" s="2"/>
      <c r="OF20" s="2"/>
      <c r="OG20" s="2"/>
      <c r="OH20" s="2"/>
      <c r="OI20" s="2"/>
      <c r="OJ20" s="2"/>
      <c r="OK20" s="2"/>
      <c r="OL20" s="2"/>
      <c r="OM20" s="2"/>
      <c r="ON20" s="2"/>
      <c r="OO20" s="2"/>
      <c r="OP20" s="2"/>
      <c r="OQ20" s="2"/>
      <c r="OR20" s="2"/>
      <c r="OS20" s="2"/>
      <c r="OT20" s="2"/>
      <c r="OU20" s="2"/>
      <c r="OV20" s="2"/>
      <c r="OW20" s="2"/>
      <c r="OX20" s="2"/>
      <c r="OY20" s="2"/>
      <c r="OZ20" s="2"/>
      <c r="PA20" s="2"/>
      <c r="PB20" s="2"/>
      <c r="PC20" s="2"/>
      <c r="PD20" s="2"/>
      <c r="PE20" s="2"/>
      <c r="PF20" s="2"/>
      <c r="PG20" s="2"/>
      <c r="PH20" s="2"/>
      <c r="PI20" s="2"/>
      <c r="PJ20" s="2"/>
      <c r="PK20" s="2"/>
      <c r="PL20" s="2"/>
      <c r="PM20" s="2"/>
      <c r="PN20" s="2"/>
      <c r="PO20" s="2"/>
      <c r="PP20" s="2"/>
      <c r="PQ20" s="2"/>
      <c r="PR20" s="2"/>
      <c r="PS20" s="2"/>
      <c r="PT20" s="2"/>
      <c r="PU20" s="2"/>
      <c r="PV20" s="2"/>
      <c r="PW20" s="2"/>
      <c r="PX20" s="2"/>
      <c r="PY20" s="2"/>
      <c r="PZ20" s="2"/>
      <c r="QA20" s="2"/>
      <c r="QB20" s="2"/>
      <c r="QC20" s="2"/>
      <c r="QD20" s="2"/>
      <c r="QE20" s="2"/>
      <c r="QF20" s="2"/>
      <c r="QG20" s="2"/>
      <c r="QH20" s="2"/>
      <c r="QI20" s="2"/>
      <c r="QJ20" s="2"/>
      <c r="QK20" s="2"/>
      <c r="QL20" s="2"/>
      <c r="QM20" s="2"/>
      <c r="QN20" s="2"/>
      <c r="QO20" s="2"/>
      <c r="QP20" s="2"/>
      <c r="QQ20" s="2"/>
      <c r="QR20" s="2"/>
      <c r="QS20" s="2"/>
      <c r="QT20" s="2"/>
      <c r="QU20" s="2"/>
      <c r="QV20" s="2"/>
      <c r="QW20" s="2"/>
      <c r="QX20" s="2"/>
      <c r="QY20" s="2"/>
      <c r="QZ20" s="2"/>
      <c r="RA20" s="2"/>
      <c r="RB20" s="2"/>
      <c r="RC20" s="2"/>
      <c r="RD20" s="2"/>
      <c r="RE20" s="2"/>
      <c r="RF20" s="2"/>
      <c r="RG20" s="2"/>
      <c r="RH20" s="2"/>
      <c r="RI20" s="2"/>
      <c r="RJ20" s="2"/>
      <c r="RK20" s="2"/>
      <c r="RL20" s="2"/>
      <c r="RM20" s="2"/>
      <c r="RN20" s="2"/>
      <c r="RO20" s="2"/>
      <c r="RP20" s="2"/>
      <c r="RQ20" s="2"/>
      <c r="RR20" s="2"/>
      <c r="RS20" s="2"/>
      <c r="RT20" s="2"/>
      <c r="RU20" s="2"/>
      <c r="RV20" s="2"/>
      <c r="RW20" s="2"/>
      <c r="RX20" s="2"/>
      <c r="RY20" s="2"/>
      <c r="RZ20" s="2"/>
      <c r="SA20" s="2"/>
      <c r="SB20" s="2"/>
      <c r="SC20" s="2"/>
      <c r="SD20" s="2"/>
      <c r="SE20" s="2"/>
      <c r="SF20" s="2"/>
      <c r="SG20" s="2"/>
      <c r="SH20" s="2"/>
      <c r="SI20" s="2"/>
      <c r="SJ20" s="2"/>
      <c r="SK20" s="2"/>
      <c r="SL20" s="2"/>
      <c r="SM20" s="2"/>
      <c r="SN20" s="2"/>
      <c r="SO20" s="2"/>
      <c r="SP20" s="2"/>
      <c r="SQ20" s="2"/>
      <c r="SR20" s="2"/>
      <c r="SS20" s="2"/>
      <c r="ST20" s="2"/>
      <c r="SU20" s="2"/>
      <c r="SV20" s="2"/>
      <c r="SW20" s="2"/>
      <c r="SX20" s="2"/>
      <c r="SY20" s="2"/>
      <c r="SZ20" s="2"/>
      <c r="TA20" s="2"/>
      <c r="TB20" s="2"/>
      <c r="TC20" s="2"/>
      <c r="TD20" s="2"/>
      <c r="TE20" s="2"/>
      <c r="TF20" s="2"/>
      <c r="TG20" s="2"/>
      <c r="TH20" s="2"/>
      <c r="TI20" s="2"/>
      <c r="TJ20" s="2"/>
      <c r="TK20" s="2"/>
      <c r="TL20" s="2"/>
      <c r="TM20" s="2"/>
      <c r="TN20" s="2"/>
      <c r="TO20" s="2"/>
      <c r="TP20" s="2"/>
      <c r="TQ20" s="2"/>
      <c r="TR20" s="2"/>
      <c r="TS20" s="2"/>
      <c r="TT20" s="2"/>
      <c r="TU20" s="2"/>
      <c r="TV20" s="2"/>
      <c r="TW20" s="2"/>
      <c r="TX20" s="2"/>
      <c r="TY20" s="2"/>
      <c r="TZ20" s="2"/>
      <c r="UA20" s="2"/>
      <c r="UB20" s="2"/>
      <c r="UC20" s="2"/>
      <c r="UD20" s="2"/>
      <c r="UE20" s="2"/>
      <c r="UF20" s="2"/>
      <c r="UG20" s="2"/>
      <c r="UH20" s="2"/>
      <c r="UI20" s="2"/>
      <c r="UJ20" s="2"/>
      <c r="UK20" s="2"/>
      <c r="UL20" s="2"/>
      <c r="UM20" s="2"/>
      <c r="UN20" s="2"/>
      <c r="UO20" s="2"/>
      <c r="UP20" s="2"/>
      <c r="UQ20" s="2"/>
      <c r="UR20" s="2"/>
      <c r="US20" s="2"/>
      <c r="UT20" s="2"/>
      <c r="UU20" s="2"/>
      <c r="UV20" s="2"/>
      <c r="UW20" s="2"/>
      <c r="UX20" s="2"/>
      <c r="UY20" s="2"/>
      <c r="UZ20" s="2"/>
      <c r="VA20" s="2"/>
      <c r="VB20" s="2"/>
      <c r="VC20" s="2"/>
      <c r="VD20" s="2"/>
      <c r="VE20" s="2"/>
      <c r="VF20" s="2"/>
      <c r="VG20" s="2"/>
      <c r="VH20" s="2"/>
      <c r="VI20" s="2"/>
      <c r="VJ20" s="2"/>
      <c r="VK20" s="2"/>
      <c r="VL20" s="2"/>
      <c r="VM20" s="2"/>
      <c r="VN20" s="2"/>
      <c r="VO20" s="2"/>
      <c r="VP20" s="2"/>
      <c r="VQ20" s="2"/>
      <c r="VR20" s="2"/>
      <c r="VS20" s="2"/>
      <c r="VT20" s="2"/>
      <c r="VU20" s="2"/>
      <c r="VV20" s="2"/>
      <c r="VW20" s="2"/>
      <c r="VX20" s="2"/>
      <c r="VY20" s="2"/>
      <c r="VZ20" s="2"/>
      <c r="WA20" s="2"/>
      <c r="WB20" s="2"/>
      <c r="WC20" s="2"/>
      <c r="WD20" s="2"/>
      <c r="WE20" s="2"/>
      <c r="WF20" s="2"/>
      <c r="WG20" s="2"/>
      <c r="WH20" s="2"/>
      <c r="WI20" s="2"/>
      <c r="WJ20" s="2"/>
      <c r="WK20" s="2"/>
      <c r="WL20" s="2"/>
      <c r="WM20" s="2"/>
      <c r="WN20" s="2"/>
      <c r="WO20" s="2"/>
      <c r="WP20" s="2"/>
      <c r="WQ20" s="2"/>
      <c r="WR20" s="2"/>
      <c r="WS20" s="2"/>
      <c r="WT20" s="2"/>
      <c r="WU20" s="2"/>
      <c r="WV20" s="2"/>
      <c r="WW20" s="2"/>
      <c r="WX20" s="2"/>
      <c r="WY20" s="2"/>
      <c r="WZ20" s="2"/>
      <c r="XA20" s="2"/>
      <c r="XB20" s="2"/>
      <c r="XC20" s="2"/>
      <c r="XD20" s="2"/>
      <c r="XE20" s="2"/>
      <c r="XF20" s="2"/>
      <c r="XG20" s="2"/>
      <c r="XH20" s="2"/>
      <c r="XI20" s="2"/>
      <c r="XJ20" s="2"/>
      <c r="XK20" s="2"/>
      <c r="XL20" s="2"/>
      <c r="XM20" s="2"/>
      <c r="XN20" s="2"/>
      <c r="XO20" s="2"/>
      <c r="XP20" s="2"/>
      <c r="XQ20" s="2"/>
      <c r="XR20" s="2"/>
      <c r="XS20" s="2"/>
      <c r="XT20" s="2"/>
      <c r="XU20" s="2"/>
      <c r="XV20" s="2"/>
      <c r="XW20" s="2"/>
      <c r="XX20" s="2"/>
      <c r="XY20" s="2"/>
      <c r="XZ20" s="2"/>
      <c r="YA20" s="2"/>
      <c r="YB20" s="2"/>
      <c r="YC20" s="2"/>
      <c r="YD20" s="2"/>
      <c r="YE20" s="2"/>
      <c r="YF20" s="2"/>
      <c r="YG20" s="2"/>
      <c r="YH20" s="2"/>
      <c r="YI20" s="2"/>
      <c r="YJ20" s="2"/>
      <c r="YK20" s="2"/>
      <c r="YL20" s="2"/>
      <c r="YM20" s="2"/>
      <c r="YN20" s="2"/>
      <c r="YO20" s="2"/>
      <c r="YP20" s="2"/>
      <c r="YQ20" s="2"/>
      <c r="YR20" s="2"/>
      <c r="YS20" s="2"/>
      <c r="YT20" s="2"/>
      <c r="YU20" s="2"/>
      <c r="YV20" s="2"/>
      <c r="YW20" s="2"/>
      <c r="YX20" s="2"/>
      <c r="YY20" s="2"/>
      <c r="YZ20" s="2"/>
      <c r="ZA20" s="2"/>
      <c r="ZB20" s="2"/>
      <c r="ZC20" s="2"/>
      <c r="ZD20" s="2"/>
      <c r="ZE20" s="2"/>
      <c r="ZF20" s="2"/>
      <c r="ZG20" s="2"/>
      <c r="ZH20" s="2"/>
      <c r="ZI20" s="2"/>
      <c r="ZJ20" s="2"/>
      <c r="ZK20" s="2"/>
      <c r="ZL20" s="2"/>
      <c r="ZM20" s="2"/>
      <c r="ZN20" s="2"/>
      <c r="ZO20" s="2"/>
      <c r="ZP20" s="2"/>
      <c r="ZQ20" s="2"/>
      <c r="ZR20" s="2"/>
      <c r="ZS20" s="2"/>
      <c r="ZT20" s="2"/>
      <c r="ZU20" s="2"/>
      <c r="ZV20" s="2"/>
      <c r="ZW20" s="2"/>
      <c r="ZX20" s="2"/>
      <c r="ZY20" s="2"/>
      <c r="ZZ20" s="2"/>
      <c r="AAA20" s="2"/>
      <c r="AAB20" s="2"/>
      <c r="AAC20" s="2"/>
      <c r="AAD20" s="2"/>
      <c r="AAE20" s="2"/>
      <c r="AAF20" s="2"/>
      <c r="AAG20" s="2"/>
      <c r="AAH20" s="2"/>
      <c r="AAI20" s="2"/>
      <c r="AAJ20" s="2"/>
      <c r="AAK20" s="2"/>
      <c r="AAL20" s="2"/>
      <c r="AAM20" s="2"/>
      <c r="AAN20" s="2"/>
      <c r="AAO20" s="2"/>
      <c r="AAP20" s="2"/>
      <c r="AAQ20" s="2"/>
      <c r="AAR20" s="2"/>
      <c r="AAS20" s="2"/>
      <c r="AAT20" s="2"/>
      <c r="AAU20" s="2"/>
      <c r="AAV20" s="2"/>
      <c r="AAW20" s="2"/>
      <c r="AAX20" s="2"/>
      <c r="AAY20" s="2"/>
      <c r="AAZ20" s="2"/>
      <c r="ABA20" s="2"/>
      <c r="ABB20" s="2"/>
      <c r="ABC20" s="2"/>
      <c r="ABD20" s="2"/>
      <c r="ABE20" s="2"/>
      <c r="ABF20" s="2"/>
      <c r="ABG20" s="2"/>
      <c r="ABH20" s="2"/>
      <c r="ABI20" s="2"/>
      <c r="ABJ20" s="2"/>
      <c r="ABK20" s="2"/>
      <c r="ABL20" s="2"/>
      <c r="ABM20" s="2"/>
      <c r="ABN20" s="2"/>
      <c r="ABO20" s="2"/>
      <c r="ABP20" s="2"/>
      <c r="ABQ20" s="2"/>
      <c r="ABR20" s="2"/>
      <c r="ABS20" s="2"/>
      <c r="ABT20" s="2"/>
      <c r="ABU20" s="2"/>
      <c r="ABV20" s="2"/>
      <c r="ABW20" s="2"/>
      <c r="ABX20" s="2"/>
      <c r="ABY20" s="2"/>
      <c r="ABZ20" s="2"/>
      <c r="ACA20" s="2"/>
      <c r="ACB20" s="2"/>
      <c r="ACC20" s="2"/>
      <c r="ACD20" s="2"/>
      <c r="ACE20" s="2"/>
      <c r="ACF20" s="2"/>
      <c r="ACG20" s="2"/>
      <c r="ACH20" s="2"/>
      <c r="ACI20" s="2"/>
      <c r="ACJ20" s="2"/>
      <c r="ACK20" s="2"/>
      <c r="ACL20" s="2"/>
      <c r="ACM20" s="2"/>
      <c r="ACN20" s="2"/>
      <c r="ACO20" s="2"/>
      <c r="ACP20" s="2"/>
      <c r="ACQ20" s="2"/>
      <c r="ACR20" s="2"/>
      <c r="ACS20" s="2"/>
      <c r="ACT20" s="2"/>
      <c r="ACU20" s="2"/>
      <c r="ACV20" s="2"/>
      <c r="ACW20" s="2"/>
      <c r="ACX20" s="2"/>
      <c r="ACY20" s="2"/>
      <c r="ACZ20" s="2"/>
      <c r="ADA20" s="2"/>
      <c r="ADB20" s="2"/>
      <c r="ADC20" s="2"/>
      <c r="ADD20" s="2"/>
      <c r="ADE20" s="2"/>
      <c r="ADF20" s="2"/>
      <c r="ADG20" s="2"/>
      <c r="ADH20" s="2"/>
      <c r="ADI20" s="2"/>
      <c r="ADJ20" s="2"/>
      <c r="ADK20" s="2"/>
      <c r="ADL20" s="2"/>
      <c r="ADM20" s="2"/>
      <c r="ADN20" s="2"/>
      <c r="ADO20" s="2"/>
      <c r="ADP20" s="2"/>
      <c r="ADQ20" s="2"/>
      <c r="ADR20" s="2"/>
      <c r="ADS20" s="2"/>
      <c r="ADT20" s="2"/>
      <c r="ADU20" s="2"/>
      <c r="ADV20" s="2"/>
      <c r="ADW20" s="2"/>
      <c r="ADX20" s="2"/>
      <c r="ADY20" s="2"/>
      <c r="ADZ20" s="2"/>
      <c r="AEA20" s="2"/>
      <c r="AEB20" s="2"/>
      <c r="AEC20" s="2"/>
      <c r="AED20" s="2"/>
      <c r="AEE20" s="2"/>
      <c r="AEF20" s="2"/>
      <c r="AEG20" s="2"/>
      <c r="AEH20" s="2"/>
      <c r="AEI20" s="2"/>
      <c r="AEJ20" s="2"/>
      <c r="AEK20" s="2"/>
      <c r="AEL20" s="2"/>
      <c r="AEM20" s="2"/>
      <c r="AEN20" s="2"/>
      <c r="AEO20" s="2"/>
      <c r="AEP20" s="2"/>
      <c r="AEQ20" s="2"/>
      <c r="AER20" s="2"/>
      <c r="AES20" s="2"/>
      <c r="AET20" s="2"/>
      <c r="AEU20" s="2"/>
      <c r="AEV20" s="2"/>
      <c r="AEW20" s="2"/>
      <c r="AEX20" s="2"/>
      <c r="AEY20" s="2"/>
      <c r="AEZ20" s="2"/>
      <c r="AFA20" s="2"/>
      <c r="AFB20" s="2"/>
      <c r="AFC20" s="2"/>
      <c r="AFD20" s="2"/>
      <c r="AFE20" s="2"/>
      <c r="AFF20" s="2"/>
      <c r="AFG20" s="2"/>
      <c r="AFH20" s="2"/>
      <c r="AFI20" s="2"/>
      <c r="AFJ20" s="2"/>
      <c r="AFK20" s="2"/>
      <c r="AFL20" s="2"/>
      <c r="AFM20" s="2"/>
      <c r="AFN20" s="2"/>
      <c r="AFO20" s="2"/>
      <c r="AFP20" s="2"/>
      <c r="AFQ20" s="2"/>
      <c r="AFR20" s="2"/>
      <c r="AFS20" s="2"/>
      <c r="AFT20" s="2"/>
      <c r="AFU20" s="2"/>
      <c r="AFV20" s="2"/>
      <c r="AFW20" s="2"/>
      <c r="AFX20" s="2"/>
      <c r="AFY20" s="2"/>
      <c r="AFZ20" s="2"/>
      <c r="AGA20" s="2"/>
      <c r="AGB20" s="2"/>
      <c r="AGC20" s="2"/>
      <c r="AGD20" s="2"/>
      <c r="AGE20" s="2"/>
      <c r="AGF20" s="2"/>
      <c r="AGG20" s="2"/>
      <c r="AGH20" s="2"/>
      <c r="AGI20" s="2"/>
      <c r="AGJ20" s="2"/>
      <c r="AGK20" s="2"/>
      <c r="AGL20" s="2"/>
      <c r="AGM20" s="2"/>
      <c r="AGN20" s="2"/>
      <c r="AGO20" s="2"/>
      <c r="AGP20" s="2"/>
      <c r="AGQ20" s="2"/>
      <c r="AGR20" s="2"/>
      <c r="AGS20" s="2"/>
      <c r="AGT20" s="2"/>
      <c r="AGU20" s="2"/>
      <c r="AGV20" s="2"/>
      <c r="AGW20" s="2"/>
      <c r="AGX20" s="2"/>
      <c r="AGY20" s="2"/>
      <c r="AGZ20" s="2"/>
      <c r="AHA20" s="2"/>
      <c r="AHB20" s="2"/>
      <c r="AHC20" s="2"/>
      <c r="AHD20" s="2"/>
      <c r="AHE20" s="2"/>
      <c r="AHF20" s="2"/>
      <c r="AHG20" s="2"/>
      <c r="AHH20" s="2"/>
      <c r="AHI20" s="2"/>
      <c r="AHJ20" s="2"/>
      <c r="AHK20" s="2"/>
      <c r="AHL20" s="2"/>
      <c r="AHM20" s="2"/>
      <c r="AHN20" s="2"/>
      <c r="AHO20" s="2"/>
      <c r="AHP20" s="2"/>
      <c r="AHQ20" s="2"/>
      <c r="AHR20" s="2"/>
      <c r="AHS20" s="2"/>
      <c r="AHT20" s="2"/>
      <c r="AHU20" s="2"/>
      <c r="AHV20" s="2"/>
      <c r="AHW20" s="2"/>
      <c r="AHX20" s="2"/>
      <c r="AHY20" s="2"/>
      <c r="AHZ20" s="2"/>
      <c r="AIA20" s="2"/>
      <c r="AIB20" s="2"/>
      <c r="AIC20" s="2"/>
      <c r="AID20" s="2"/>
      <c r="AIE20" s="2"/>
      <c r="AIF20" s="2"/>
      <c r="AIG20" s="2"/>
      <c r="AIH20" s="2"/>
      <c r="AII20" s="2"/>
      <c r="AIJ20" s="2"/>
      <c r="AIK20" s="2"/>
      <c r="AIL20" s="2"/>
      <c r="AIM20" s="2"/>
      <c r="AIN20" s="2"/>
      <c r="AIO20" s="2"/>
      <c r="AIP20" s="2"/>
      <c r="AIQ20" s="2"/>
      <c r="AIR20" s="2"/>
      <c r="AIS20" s="2"/>
      <c r="AIT20" s="2"/>
      <c r="AIU20" s="2"/>
      <c r="AIV20" s="2"/>
      <c r="AIW20" s="2"/>
      <c r="AIX20" s="2"/>
      <c r="AIY20" s="2"/>
      <c r="AIZ20" s="2"/>
      <c r="AJA20" s="2"/>
      <c r="AJB20" s="2"/>
      <c r="AJC20" s="2"/>
      <c r="AJD20" s="2"/>
      <c r="AJE20" s="2"/>
      <c r="AJF20" s="2"/>
      <c r="AJG20" s="2"/>
      <c r="AJH20" s="2"/>
      <c r="AJI20" s="2"/>
      <c r="AJJ20" s="2"/>
      <c r="AJK20" s="2"/>
      <c r="AJL20" s="2"/>
      <c r="AJM20" s="2"/>
      <c r="AJN20" s="2"/>
      <c r="AJO20" s="2"/>
      <c r="AJP20" s="2"/>
      <c r="AJQ20" s="2"/>
      <c r="AJR20" s="2"/>
      <c r="AJS20" s="2"/>
      <c r="AJT20" s="2"/>
      <c r="AJU20" s="2"/>
      <c r="AJV20" s="2"/>
      <c r="AJW20" s="2"/>
      <c r="AJX20" s="2"/>
      <c r="AJY20" s="2"/>
      <c r="AJZ20" s="2"/>
      <c r="AKA20" s="2"/>
      <c r="AKB20" s="2"/>
      <c r="AKC20" s="2"/>
      <c r="AKD20" s="2"/>
      <c r="AKE20" s="2"/>
      <c r="AKF20" s="2"/>
      <c r="AKG20" s="2"/>
      <c r="AKH20" s="2"/>
      <c r="AKI20" s="2"/>
      <c r="AKJ20" s="2"/>
      <c r="AKK20" s="2"/>
      <c r="AKL20" s="2"/>
      <c r="AKM20" s="2"/>
      <c r="AKN20" s="2"/>
      <c r="AKO20" s="2"/>
      <c r="AKP20" s="2"/>
      <c r="AKQ20" s="2"/>
      <c r="AKR20" s="2"/>
      <c r="AKS20" s="2"/>
      <c r="AKT20" s="2"/>
      <c r="AKU20" s="2"/>
      <c r="AKV20" s="2"/>
      <c r="AKW20" s="2"/>
      <c r="AKX20" s="2"/>
      <c r="AKY20" s="2"/>
      <c r="AKZ20" s="2"/>
      <c r="ALA20" s="2"/>
      <c r="ALB20" s="2"/>
      <c r="ALC20" s="2"/>
      <c r="ALD20" s="2"/>
      <c r="ALE20" s="2"/>
      <c r="ALF20" s="2"/>
      <c r="ALG20" s="2"/>
      <c r="ALH20" s="2"/>
      <c r="ALI20" s="2"/>
      <c r="ALJ20" s="2"/>
      <c r="ALK20" s="2"/>
      <c r="ALL20" s="2"/>
      <c r="ALM20" s="2"/>
      <c r="ALN20" s="2"/>
      <c r="ALO20" s="2"/>
      <c r="ALP20" s="2"/>
      <c r="ALQ20" s="2"/>
      <c r="ALR20" s="2"/>
      <c r="ALS20" s="2"/>
      <c r="ALT20" s="2"/>
      <c r="ALU20" s="2"/>
      <c r="ALV20" s="2"/>
      <c r="ALW20" s="2"/>
      <c r="ALX20" s="2"/>
    </row>
    <row r="21" customFormat="false" ht="19.5" hidden="false" customHeight="true" outlineLevel="0" collapsed="false">
      <c r="A21" s="55"/>
      <c r="B21" s="32" t="s">
        <v>101</v>
      </c>
      <c r="C21" s="73" t="n">
        <f aca="false">SUM(C7:C20)</f>
        <v>19116.4</v>
      </c>
      <c r="D21" s="73" t="n">
        <f aca="false">SUM(D7:D20)</f>
        <v>8861</v>
      </c>
      <c r="E21" s="73" t="n">
        <f aca="false">SUM(E7:E20)</f>
        <v>3316.4</v>
      </c>
      <c r="F21" s="73" t="n">
        <f aca="false">SUM(F7:F20)</f>
        <v>6939</v>
      </c>
      <c r="G21" s="73" t="n">
        <f aca="false">SUM(G7:G20)</f>
        <v>10715.64</v>
      </c>
      <c r="H21" s="74" t="n">
        <f aca="false">SUM(H7:H20)</f>
        <v>25.5</v>
      </c>
      <c r="I21" s="74" t="n">
        <f aca="false">SUM(I7:I20)</f>
        <v>30.6</v>
      </c>
      <c r="J21" s="74" t="n">
        <f aca="false">COUNTIF(J7:J20,"SIM")</f>
        <v>8</v>
      </c>
      <c r="K21" s="74" t="n">
        <f aca="false">COUNTIF(K7:K20,"SIM")</f>
        <v>13</v>
      </c>
      <c r="L21" s="74" t="n">
        <f aca="false">SUM(L7:L20)</f>
        <v>44.05</v>
      </c>
      <c r="M21" s="74" t="n">
        <f aca="false">SUM(M7:M20)</f>
        <v>96.05</v>
      </c>
      <c r="N21" s="74" t="n">
        <f aca="false">SUM(N7:N20)</f>
        <v>612.55</v>
      </c>
      <c r="O21" s="75" t="n">
        <f aca="false">SUM(O7:O20)</f>
        <v>38487.971</v>
      </c>
      <c r="P21" s="76"/>
      <c r="Q21" s="74" t="s">
        <v>101</v>
      </c>
      <c r="R21" s="77" t="n">
        <f aca="false">SUM(R7:R20)</f>
        <v>1440.75</v>
      </c>
      <c r="S21" s="77" t="n">
        <f aca="false">SUM(S7:S20)</f>
        <v>1728.9</v>
      </c>
      <c r="T21" s="77" t="n">
        <f aca="false">SUM(T7:T20)</f>
        <v>2488.825</v>
      </c>
      <c r="U21" s="77" t="n">
        <f aca="false">SUM(U7:U20)</f>
        <v>9305.721</v>
      </c>
      <c r="V21" s="77" t="n">
        <f aca="false">SUM(V7:V20)</f>
        <v>2214.19795833333</v>
      </c>
      <c r="W21" s="77" t="n">
        <f aca="false">SUM(W7:W20)</f>
        <v>1106.16666666667</v>
      </c>
      <c r="X21" s="77" t="n">
        <f aca="false">SUM(X7:X20)</f>
        <v>0</v>
      </c>
      <c r="Y21" s="77" t="n">
        <f aca="false">SUM(Y7:Y20)</f>
        <v>2276.90754166667</v>
      </c>
      <c r="Z21" s="77" t="n">
        <f aca="false">SUM(Z7:Z20)</f>
        <v>4699.28229964068</v>
      </c>
      <c r="AA21" s="77" t="n">
        <f aca="false">SUM(AA7:AA20)</f>
        <v>5639.13875956882</v>
      </c>
      <c r="AB21" s="77" t="n">
        <f aca="false">SUM(AB7:AB20)</f>
        <v>8117.77981565381</v>
      </c>
      <c r="AC21" s="77" t="n">
        <f aca="false">SUM(AC7:AC20)</f>
        <v>17700.6299953132</v>
      </c>
      <c r="AD21" s="77" t="n">
        <f aca="false">SUM(AD7:AD20)</f>
        <v>9675.15156279858</v>
      </c>
      <c r="AE21" s="77" t="n">
        <f aca="false">SUM(AE7:AE20)</f>
        <v>10903.1580227267</v>
      </c>
      <c r="AF21" s="77" t="n">
        <f aca="false">SUM(AF7:AF20)</f>
        <v>14141.7240788117</v>
      </c>
      <c r="AG21" s="77" t="n">
        <f aca="false">SUM(AG7:AG20)</f>
        <v>30541.4702584711</v>
      </c>
      <c r="AH21" s="55"/>
      <c r="AI21" s="74" t="s">
        <v>101</v>
      </c>
      <c r="AJ21" s="74"/>
      <c r="AK21" s="78" t="n">
        <f aca="false">SUM(AK7:AK20)</f>
        <v>11900.8723327167</v>
      </c>
      <c r="AL21" s="78" t="n">
        <f aca="false">SUM(AL7:AL20)</f>
        <v>13411.7296139149</v>
      </c>
      <c r="AM21" s="78" t="n">
        <f aca="false">SUM(AM7:AM20)</f>
        <v>17397.2245796117</v>
      </c>
      <c r="AN21" s="78" t="n">
        <f aca="false">SUM(AN7:AN20)</f>
        <v>37568.3019541034</v>
      </c>
      <c r="AO21" s="78" t="n">
        <f aca="false">SUM(AO7:AO20)</f>
        <v>22401.6781301322</v>
      </c>
      <c r="AP21" s="78" t="n">
        <f aca="false">SUM(AP7:AP20)</f>
        <v>67205.0343903967</v>
      </c>
      <c r="AQ21" s="78" t="n">
        <f aca="false">SUM(AQ7:AQ20)</f>
        <v>89606.712520529</v>
      </c>
      <c r="AR21" s="55"/>
      <c r="AS21" s="55"/>
      <c r="AT21" s="55"/>
      <c r="AU21" s="55"/>
      <c r="AV21" s="55"/>
      <c r="AW21" s="55"/>
      <c r="AX21" s="55"/>
      <c r="AY21" s="55"/>
      <c r="AZ21" s="55"/>
      <c r="BA21" s="55"/>
      <c r="BB21" s="55"/>
      <c r="BC21" s="55"/>
      <c r="BD21" s="55"/>
      <c r="BE21" s="55"/>
      <c r="BF21" s="55"/>
      <c r="BG21" s="55"/>
      <c r="BH21" s="55"/>
      <c r="BI21" s="55"/>
      <c r="BJ21" s="55"/>
      <c r="BK21" s="55"/>
      <c r="BL21" s="55"/>
      <c r="BM21" s="55"/>
      <c r="BN21" s="55"/>
      <c r="BO21" s="55"/>
      <c r="BP21" s="55"/>
      <c r="BQ21" s="55"/>
      <c r="BR21" s="55"/>
      <c r="BS21" s="55"/>
      <c r="BT21" s="55"/>
      <c r="BU21" s="55"/>
      <c r="BV21" s="55"/>
      <c r="BW21" s="55"/>
      <c r="BX21" s="55"/>
      <c r="BY21" s="55"/>
      <c r="BZ21" s="55"/>
      <c r="CA21" s="55"/>
      <c r="CB21" s="55"/>
      <c r="CC21" s="55"/>
      <c r="CD21" s="55"/>
      <c r="CE21" s="55"/>
      <c r="CF21" s="55"/>
      <c r="CG21" s="55"/>
      <c r="CH21" s="55"/>
      <c r="CI21" s="55"/>
      <c r="CJ21" s="55"/>
      <c r="CK21" s="55"/>
      <c r="CL21" s="55"/>
      <c r="CM21" s="55"/>
      <c r="CN21" s="55"/>
      <c r="CO21" s="55"/>
      <c r="CP21" s="55"/>
      <c r="CQ21" s="55"/>
      <c r="CR21" s="55"/>
      <c r="CS21" s="55"/>
      <c r="CT21" s="55"/>
      <c r="CU21" s="55"/>
      <c r="CV21" s="55"/>
      <c r="CW21" s="55"/>
      <c r="CX21" s="55"/>
      <c r="CY21" s="55"/>
      <c r="CZ21" s="55"/>
      <c r="DA21" s="55"/>
      <c r="DB21" s="55"/>
      <c r="DC21" s="55"/>
      <c r="DD21" s="55"/>
      <c r="DE21" s="55"/>
      <c r="DF21" s="55"/>
      <c r="DG21" s="55"/>
      <c r="DH21" s="55"/>
      <c r="DI21" s="55"/>
      <c r="DJ21" s="55"/>
      <c r="DK21" s="55"/>
      <c r="DL21" s="55"/>
      <c r="DM21" s="55"/>
      <c r="DN21" s="55"/>
      <c r="DO21" s="55"/>
      <c r="DP21" s="55"/>
      <c r="DQ21" s="55"/>
      <c r="DR21" s="55"/>
      <c r="DS21" s="55"/>
      <c r="DT21" s="55"/>
      <c r="DU21" s="55"/>
      <c r="DV21" s="55"/>
      <c r="DW21" s="55"/>
      <c r="DX21" s="55"/>
      <c r="DY21" s="55"/>
      <c r="DZ21" s="55"/>
      <c r="EA21" s="55"/>
      <c r="EB21" s="55"/>
      <c r="EC21" s="55"/>
      <c r="ED21" s="55"/>
      <c r="EE21" s="55"/>
      <c r="EF21" s="55"/>
      <c r="EG21" s="55"/>
      <c r="EH21" s="55"/>
      <c r="EI21" s="55"/>
      <c r="EJ21" s="55"/>
      <c r="EK21" s="55"/>
      <c r="EL21" s="55"/>
      <c r="EM21" s="55"/>
      <c r="EN21" s="55"/>
      <c r="EO21" s="55"/>
      <c r="EP21" s="55"/>
      <c r="EQ21" s="55"/>
      <c r="ER21" s="55"/>
      <c r="ES21" s="55"/>
      <c r="ET21" s="55"/>
      <c r="EU21" s="55"/>
      <c r="EV21" s="55"/>
      <c r="EW21" s="55"/>
      <c r="EX21" s="55"/>
      <c r="EY21" s="55"/>
      <c r="EZ21" s="55"/>
      <c r="FA21" s="55"/>
      <c r="FB21" s="55"/>
      <c r="FC21" s="55"/>
      <c r="FD21" s="55"/>
      <c r="FE21" s="55"/>
      <c r="FF21" s="55"/>
      <c r="FG21" s="55"/>
      <c r="FH21" s="55"/>
      <c r="FI21" s="55"/>
      <c r="FJ21" s="55"/>
      <c r="FK21" s="55"/>
      <c r="FL21" s="55"/>
      <c r="FM21" s="55"/>
      <c r="FN21" s="55"/>
      <c r="FO21" s="55"/>
      <c r="FP21" s="55"/>
      <c r="FQ21" s="55"/>
      <c r="FR21" s="55"/>
      <c r="FS21" s="55"/>
      <c r="FT21" s="55"/>
      <c r="FU21" s="55"/>
      <c r="FV21" s="55"/>
      <c r="FW21" s="55"/>
      <c r="FX21" s="55"/>
      <c r="FY21" s="55"/>
      <c r="FZ21" s="55"/>
      <c r="GA21" s="55"/>
      <c r="GB21" s="55"/>
      <c r="GC21" s="55"/>
      <c r="GD21" s="55"/>
      <c r="GE21" s="55"/>
      <c r="GF21" s="55"/>
      <c r="GG21" s="55"/>
      <c r="GH21" s="55"/>
      <c r="GI21" s="55"/>
      <c r="GJ21" s="55"/>
      <c r="GK21" s="55"/>
      <c r="GL21" s="55"/>
      <c r="GM21" s="55"/>
      <c r="GN21" s="55"/>
      <c r="GO21" s="55"/>
      <c r="GP21" s="55"/>
      <c r="GQ21" s="55"/>
      <c r="GR21" s="55"/>
      <c r="GS21" s="55"/>
      <c r="GT21" s="55"/>
      <c r="GU21" s="55"/>
      <c r="GV21" s="55"/>
      <c r="GW21" s="55"/>
      <c r="GX21" s="55"/>
      <c r="GY21" s="55"/>
      <c r="GZ21" s="55"/>
      <c r="HA21" s="55"/>
      <c r="HB21" s="55"/>
      <c r="HC21" s="55"/>
      <c r="HD21" s="55"/>
      <c r="HE21" s="55"/>
      <c r="HF21" s="55"/>
      <c r="HG21" s="55"/>
      <c r="HH21" s="55"/>
      <c r="HI21" s="55"/>
      <c r="HJ21" s="55"/>
      <c r="HK21" s="55"/>
      <c r="HL21" s="55"/>
      <c r="HM21" s="55"/>
      <c r="HN21" s="55"/>
      <c r="HO21" s="55"/>
      <c r="HP21" s="55"/>
      <c r="HQ21" s="55"/>
      <c r="HR21" s="55"/>
      <c r="HS21" s="55"/>
      <c r="HT21" s="55"/>
      <c r="HU21" s="55"/>
      <c r="HV21" s="55"/>
      <c r="HW21" s="55"/>
      <c r="HX21" s="55"/>
      <c r="HY21" s="55"/>
      <c r="HZ21" s="55"/>
      <c r="IA21" s="55"/>
      <c r="IB21" s="55"/>
      <c r="IC21" s="55"/>
      <c r="ID21" s="55"/>
      <c r="IE21" s="55"/>
      <c r="IF21" s="55"/>
      <c r="IG21" s="55"/>
      <c r="IH21" s="55"/>
      <c r="II21" s="55"/>
      <c r="IJ21" s="55"/>
      <c r="IK21" s="55"/>
      <c r="IL21" s="55"/>
      <c r="IM21" s="55"/>
      <c r="IN21" s="55"/>
      <c r="IO21" s="55"/>
      <c r="IP21" s="55"/>
      <c r="IQ21" s="55"/>
      <c r="IR21" s="55"/>
      <c r="IS21" s="55"/>
      <c r="IT21" s="55"/>
      <c r="IU21" s="55"/>
      <c r="IV21" s="55"/>
      <c r="IW21" s="55"/>
      <c r="IX21" s="55"/>
      <c r="IY21" s="55"/>
      <c r="IZ21" s="55"/>
      <c r="JA21" s="55"/>
      <c r="JB21" s="55"/>
      <c r="JC21" s="55"/>
      <c r="JD21" s="55"/>
      <c r="JE21" s="55"/>
      <c r="JF21" s="55"/>
      <c r="JG21" s="55"/>
      <c r="JH21" s="55"/>
      <c r="JI21" s="55"/>
      <c r="JJ21" s="55"/>
      <c r="JK21" s="55"/>
      <c r="JL21" s="55"/>
      <c r="JM21" s="55"/>
      <c r="JN21" s="55"/>
      <c r="JO21" s="55"/>
      <c r="JP21" s="55"/>
      <c r="JQ21" s="55"/>
      <c r="JR21" s="55"/>
      <c r="JS21" s="55"/>
      <c r="JT21" s="55"/>
      <c r="JU21" s="55"/>
      <c r="JV21" s="55"/>
      <c r="JW21" s="55"/>
      <c r="JX21" s="55"/>
      <c r="JY21" s="55"/>
      <c r="JZ21" s="55"/>
      <c r="KA21" s="55"/>
      <c r="KB21" s="55"/>
      <c r="KC21" s="55"/>
      <c r="KD21" s="55"/>
      <c r="KE21" s="55"/>
      <c r="KF21" s="55"/>
      <c r="KG21" s="55"/>
      <c r="KH21" s="55"/>
      <c r="KI21" s="55"/>
      <c r="KJ21" s="55"/>
      <c r="KK21" s="55"/>
      <c r="KL21" s="55"/>
      <c r="KM21" s="55"/>
      <c r="KN21" s="55"/>
      <c r="KO21" s="55"/>
      <c r="KP21" s="55"/>
      <c r="KQ21" s="55"/>
      <c r="KR21" s="55"/>
      <c r="KS21" s="55"/>
      <c r="KT21" s="55"/>
      <c r="KU21" s="55"/>
      <c r="KV21" s="55"/>
      <c r="KW21" s="55"/>
      <c r="KX21" s="55"/>
      <c r="KY21" s="55"/>
      <c r="KZ21" s="55"/>
      <c r="LA21" s="55"/>
      <c r="LB21" s="55"/>
      <c r="LC21" s="55"/>
      <c r="LD21" s="55"/>
      <c r="LE21" s="55"/>
      <c r="LF21" s="55"/>
      <c r="LG21" s="55"/>
      <c r="LH21" s="55"/>
      <c r="LI21" s="55"/>
      <c r="LJ21" s="55"/>
      <c r="LK21" s="55"/>
      <c r="LL21" s="55"/>
      <c r="LM21" s="55"/>
      <c r="LN21" s="55"/>
      <c r="LO21" s="55"/>
      <c r="LP21" s="55"/>
      <c r="LQ21" s="55"/>
      <c r="LR21" s="55"/>
      <c r="LS21" s="55"/>
      <c r="LT21" s="55"/>
      <c r="LU21" s="55"/>
      <c r="LV21" s="55"/>
      <c r="LW21" s="55"/>
      <c r="LX21" s="55"/>
      <c r="LY21" s="55"/>
      <c r="LZ21" s="55"/>
      <c r="MA21" s="55"/>
      <c r="MB21" s="55"/>
      <c r="MC21" s="55"/>
      <c r="MD21" s="55"/>
      <c r="ME21" s="55"/>
      <c r="MF21" s="55"/>
      <c r="MG21" s="55"/>
      <c r="MH21" s="55"/>
      <c r="MI21" s="55"/>
      <c r="MJ21" s="55"/>
      <c r="MK21" s="55"/>
      <c r="ML21" s="55"/>
      <c r="MM21" s="55"/>
      <c r="MN21" s="55"/>
      <c r="MO21" s="55"/>
      <c r="MP21" s="55"/>
      <c r="MQ21" s="55"/>
      <c r="MR21" s="55"/>
      <c r="MS21" s="55"/>
      <c r="MT21" s="55"/>
      <c r="MU21" s="55"/>
      <c r="MV21" s="55"/>
      <c r="MW21" s="55"/>
      <c r="MX21" s="55"/>
      <c r="MY21" s="55"/>
      <c r="MZ21" s="55"/>
      <c r="NA21" s="55"/>
      <c r="NB21" s="55"/>
      <c r="NC21" s="55"/>
      <c r="ND21" s="55"/>
      <c r="NE21" s="55"/>
      <c r="NF21" s="55"/>
      <c r="NG21" s="55"/>
      <c r="NH21" s="55"/>
      <c r="NI21" s="55"/>
      <c r="NJ21" s="55"/>
      <c r="NK21" s="55"/>
      <c r="NL21" s="55"/>
      <c r="NM21" s="55"/>
      <c r="NN21" s="55"/>
      <c r="NO21" s="55"/>
      <c r="NP21" s="55"/>
      <c r="NQ21" s="55"/>
      <c r="NR21" s="55"/>
      <c r="NS21" s="55"/>
      <c r="NT21" s="55"/>
      <c r="NU21" s="55"/>
      <c r="NV21" s="55"/>
      <c r="NW21" s="55"/>
      <c r="NX21" s="55"/>
      <c r="NY21" s="55"/>
      <c r="NZ21" s="55"/>
      <c r="OA21" s="55"/>
      <c r="OB21" s="55"/>
      <c r="OC21" s="55"/>
      <c r="OD21" s="55"/>
      <c r="OE21" s="55"/>
      <c r="OF21" s="55"/>
      <c r="OG21" s="55"/>
      <c r="OH21" s="55"/>
      <c r="OI21" s="55"/>
      <c r="OJ21" s="55"/>
      <c r="OK21" s="55"/>
      <c r="OL21" s="55"/>
      <c r="OM21" s="55"/>
      <c r="ON21" s="55"/>
      <c r="OO21" s="55"/>
      <c r="OP21" s="55"/>
      <c r="OQ21" s="55"/>
      <c r="OR21" s="55"/>
      <c r="OS21" s="55"/>
      <c r="OT21" s="55"/>
      <c r="OU21" s="55"/>
      <c r="OV21" s="55"/>
      <c r="OW21" s="55"/>
      <c r="OX21" s="55"/>
      <c r="OY21" s="55"/>
      <c r="OZ21" s="55"/>
      <c r="PA21" s="55"/>
      <c r="PB21" s="55"/>
      <c r="PC21" s="55"/>
      <c r="PD21" s="55"/>
      <c r="PE21" s="55"/>
      <c r="PF21" s="55"/>
      <c r="PG21" s="55"/>
      <c r="PH21" s="55"/>
      <c r="PI21" s="55"/>
      <c r="PJ21" s="55"/>
      <c r="PK21" s="55"/>
      <c r="PL21" s="55"/>
      <c r="PM21" s="55"/>
      <c r="PN21" s="55"/>
      <c r="PO21" s="55"/>
      <c r="PP21" s="55"/>
      <c r="PQ21" s="55"/>
      <c r="PR21" s="55"/>
      <c r="PS21" s="55"/>
      <c r="PT21" s="55"/>
      <c r="PU21" s="55"/>
      <c r="PV21" s="55"/>
      <c r="PW21" s="55"/>
      <c r="PX21" s="55"/>
      <c r="PY21" s="55"/>
      <c r="PZ21" s="55"/>
      <c r="QA21" s="55"/>
      <c r="QB21" s="55"/>
      <c r="QC21" s="55"/>
      <c r="QD21" s="55"/>
      <c r="QE21" s="55"/>
      <c r="QF21" s="55"/>
      <c r="QG21" s="55"/>
      <c r="QH21" s="55"/>
      <c r="QI21" s="55"/>
      <c r="QJ21" s="55"/>
      <c r="QK21" s="55"/>
      <c r="QL21" s="55"/>
      <c r="QM21" s="55"/>
      <c r="QN21" s="55"/>
      <c r="QO21" s="55"/>
      <c r="QP21" s="55"/>
      <c r="QQ21" s="55"/>
      <c r="QR21" s="55"/>
      <c r="QS21" s="55"/>
      <c r="QT21" s="55"/>
      <c r="QU21" s="55"/>
      <c r="QV21" s="55"/>
      <c r="QW21" s="55"/>
      <c r="QX21" s="55"/>
      <c r="QY21" s="55"/>
      <c r="QZ21" s="55"/>
      <c r="RA21" s="55"/>
      <c r="RB21" s="55"/>
      <c r="RC21" s="55"/>
      <c r="RD21" s="55"/>
      <c r="RE21" s="55"/>
      <c r="RF21" s="55"/>
      <c r="RG21" s="55"/>
      <c r="RH21" s="55"/>
      <c r="RI21" s="55"/>
      <c r="RJ21" s="55"/>
      <c r="RK21" s="55"/>
      <c r="RL21" s="55"/>
      <c r="RM21" s="55"/>
      <c r="RN21" s="55"/>
      <c r="RO21" s="55"/>
      <c r="RP21" s="55"/>
      <c r="RQ21" s="55"/>
      <c r="RR21" s="55"/>
      <c r="RS21" s="55"/>
      <c r="RT21" s="55"/>
      <c r="RU21" s="55"/>
      <c r="RV21" s="55"/>
      <c r="RW21" s="55"/>
      <c r="RX21" s="55"/>
      <c r="RY21" s="55"/>
      <c r="RZ21" s="55"/>
      <c r="SA21" s="55"/>
      <c r="SB21" s="55"/>
      <c r="SC21" s="55"/>
      <c r="SD21" s="55"/>
      <c r="SE21" s="55"/>
      <c r="SF21" s="55"/>
      <c r="SG21" s="55"/>
      <c r="SH21" s="55"/>
      <c r="SI21" s="55"/>
      <c r="SJ21" s="55"/>
      <c r="SK21" s="55"/>
      <c r="SL21" s="55"/>
      <c r="SM21" s="55"/>
      <c r="SN21" s="55"/>
      <c r="SO21" s="55"/>
      <c r="SP21" s="55"/>
      <c r="SQ21" s="55"/>
      <c r="SR21" s="55"/>
      <c r="SS21" s="55"/>
      <c r="ST21" s="55"/>
      <c r="SU21" s="55"/>
      <c r="SV21" s="55"/>
      <c r="SW21" s="55"/>
      <c r="SX21" s="55"/>
      <c r="SY21" s="55"/>
      <c r="SZ21" s="55"/>
      <c r="TA21" s="55"/>
      <c r="TB21" s="55"/>
      <c r="TC21" s="55"/>
      <c r="TD21" s="55"/>
      <c r="TE21" s="55"/>
      <c r="TF21" s="55"/>
      <c r="TG21" s="55"/>
      <c r="TH21" s="55"/>
      <c r="TI21" s="55"/>
      <c r="TJ21" s="55"/>
      <c r="TK21" s="55"/>
      <c r="TL21" s="55"/>
      <c r="TM21" s="55"/>
      <c r="TN21" s="55"/>
      <c r="TO21" s="55"/>
      <c r="TP21" s="55"/>
      <c r="TQ21" s="55"/>
      <c r="TR21" s="55"/>
      <c r="TS21" s="55"/>
      <c r="TT21" s="55"/>
      <c r="TU21" s="55"/>
      <c r="TV21" s="55"/>
      <c r="TW21" s="55"/>
      <c r="TX21" s="55"/>
      <c r="TY21" s="55"/>
      <c r="TZ21" s="55"/>
      <c r="UA21" s="55"/>
      <c r="UB21" s="55"/>
      <c r="UC21" s="55"/>
      <c r="UD21" s="55"/>
      <c r="UE21" s="55"/>
      <c r="UF21" s="55"/>
      <c r="UG21" s="55"/>
      <c r="UH21" s="55"/>
      <c r="UI21" s="55"/>
      <c r="UJ21" s="55"/>
      <c r="UK21" s="55"/>
      <c r="UL21" s="55"/>
      <c r="UM21" s="55"/>
      <c r="UN21" s="55"/>
      <c r="UO21" s="55"/>
      <c r="UP21" s="55"/>
      <c r="UQ21" s="55"/>
      <c r="UR21" s="55"/>
      <c r="US21" s="55"/>
      <c r="UT21" s="55"/>
      <c r="UU21" s="55"/>
      <c r="UV21" s="55"/>
      <c r="UW21" s="55"/>
      <c r="UX21" s="55"/>
      <c r="UY21" s="55"/>
      <c r="UZ21" s="55"/>
      <c r="VA21" s="55"/>
      <c r="VB21" s="55"/>
      <c r="VC21" s="55"/>
      <c r="VD21" s="55"/>
      <c r="VE21" s="55"/>
      <c r="VF21" s="55"/>
      <c r="VG21" s="55"/>
      <c r="VH21" s="55"/>
      <c r="VI21" s="55"/>
      <c r="VJ21" s="55"/>
      <c r="VK21" s="55"/>
      <c r="VL21" s="55"/>
      <c r="VM21" s="55"/>
      <c r="VN21" s="55"/>
      <c r="VO21" s="55"/>
      <c r="VP21" s="55"/>
      <c r="VQ21" s="55"/>
      <c r="VR21" s="55"/>
      <c r="VS21" s="55"/>
      <c r="VT21" s="55"/>
      <c r="VU21" s="55"/>
      <c r="VV21" s="55"/>
      <c r="VW21" s="55"/>
      <c r="VX21" s="55"/>
      <c r="VY21" s="55"/>
      <c r="VZ21" s="55"/>
      <c r="WA21" s="55"/>
      <c r="WB21" s="55"/>
      <c r="WC21" s="55"/>
      <c r="WD21" s="55"/>
      <c r="WE21" s="55"/>
      <c r="WF21" s="55"/>
      <c r="WG21" s="55"/>
      <c r="WH21" s="55"/>
      <c r="WI21" s="55"/>
      <c r="WJ21" s="55"/>
      <c r="WK21" s="55"/>
      <c r="WL21" s="55"/>
      <c r="WM21" s="55"/>
      <c r="WN21" s="55"/>
      <c r="WO21" s="55"/>
      <c r="WP21" s="55"/>
      <c r="WQ21" s="55"/>
      <c r="WR21" s="55"/>
      <c r="WS21" s="55"/>
      <c r="WT21" s="55"/>
      <c r="WU21" s="55"/>
      <c r="WV21" s="55"/>
      <c r="WW21" s="55"/>
      <c r="WX21" s="55"/>
      <c r="WY21" s="55"/>
      <c r="WZ21" s="55"/>
      <c r="XA21" s="55"/>
      <c r="XB21" s="55"/>
      <c r="XC21" s="55"/>
      <c r="XD21" s="55"/>
      <c r="XE21" s="55"/>
      <c r="XF21" s="55"/>
      <c r="XG21" s="55"/>
      <c r="XH21" s="55"/>
      <c r="XI21" s="55"/>
      <c r="XJ21" s="55"/>
      <c r="XK21" s="55"/>
      <c r="XL21" s="55"/>
      <c r="XM21" s="55"/>
      <c r="XN21" s="55"/>
      <c r="XO21" s="55"/>
      <c r="XP21" s="55"/>
      <c r="XQ21" s="55"/>
      <c r="XR21" s="55"/>
      <c r="XS21" s="55"/>
      <c r="XT21" s="55"/>
      <c r="XU21" s="55"/>
      <c r="XV21" s="55"/>
      <c r="XW21" s="55"/>
      <c r="XX21" s="55"/>
      <c r="XY21" s="55"/>
      <c r="XZ21" s="55"/>
      <c r="YA21" s="55"/>
      <c r="YB21" s="55"/>
      <c r="YC21" s="55"/>
      <c r="YD21" s="55"/>
      <c r="YE21" s="55"/>
      <c r="YF21" s="55"/>
      <c r="YG21" s="55"/>
      <c r="YH21" s="55"/>
      <c r="YI21" s="55"/>
      <c r="YJ21" s="55"/>
      <c r="YK21" s="55"/>
      <c r="YL21" s="55"/>
      <c r="YM21" s="55"/>
      <c r="YN21" s="55"/>
      <c r="YO21" s="55"/>
      <c r="YP21" s="55"/>
      <c r="YQ21" s="55"/>
      <c r="YR21" s="55"/>
      <c r="YS21" s="55"/>
      <c r="YT21" s="55"/>
      <c r="YU21" s="55"/>
      <c r="YV21" s="55"/>
      <c r="YW21" s="55"/>
      <c r="YX21" s="55"/>
      <c r="YY21" s="55"/>
      <c r="YZ21" s="55"/>
      <c r="ZA21" s="55"/>
      <c r="ZB21" s="55"/>
      <c r="ZC21" s="55"/>
      <c r="ZD21" s="55"/>
      <c r="ZE21" s="55"/>
      <c r="ZF21" s="55"/>
      <c r="ZG21" s="55"/>
      <c r="ZH21" s="55"/>
      <c r="ZI21" s="55"/>
      <c r="ZJ21" s="55"/>
      <c r="ZK21" s="55"/>
      <c r="ZL21" s="55"/>
      <c r="ZM21" s="55"/>
      <c r="ZN21" s="55"/>
      <c r="ZO21" s="55"/>
      <c r="ZP21" s="55"/>
      <c r="ZQ21" s="55"/>
      <c r="ZR21" s="55"/>
      <c r="ZS21" s="55"/>
      <c r="ZT21" s="55"/>
      <c r="ZU21" s="55"/>
      <c r="ZV21" s="55"/>
      <c r="ZW21" s="55"/>
      <c r="ZX21" s="55"/>
      <c r="ZY21" s="55"/>
      <c r="ZZ21" s="55"/>
      <c r="AAA21" s="55"/>
      <c r="AAB21" s="55"/>
      <c r="AAC21" s="55"/>
      <c r="AAD21" s="55"/>
      <c r="AAE21" s="55"/>
      <c r="AAF21" s="55"/>
      <c r="AAG21" s="55"/>
      <c r="AAH21" s="55"/>
      <c r="AAI21" s="55"/>
      <c r="AAJ21" s="55"/>
      <c r="AAK21" s="55"/>
      <c r="AAL21" s="55"/>
      <c r="AAM21" s="55"/>
      <c r="AAN21" s="55"/>
      <c r="AAO21" s="55"/>
      <c r="AAP21" s="55"/>
      <c r="AAQ21" s="55"/>
      <c r="AAR21" s="55"/>
      <c r="AAS21" s="55"/>
      <c r="AAT21" s="55"/>
      <c r="AAU21" s="55"/>
      <c r="AAV21" s="55"/>
      <c r="AAW21" s="55"/>
      <c r="AAX21" s="55"/>
      <c r="AAY21" s="55"/>
      <c r="AAZ21" s="55"/>
      <c r="ABA21" s="55"/>
      <c r="ABB21" s="55"/>
      <c r="ABC21" s="55"/>
      <c r="ABD21" s="55"/>
      <c r="ABE21" s="55"/>
      <c r="ABF21" s="55"/>
      <c r="ABG21" s="55"/>
      <c r="ABH21" s="55"/>
      <c r="ABI21" s="55"/>
      <c r="ABJ21" s="55"/>
      <c r="ABK21" s="55"/>
      <c r="ABL21" s="55"/>
      <c r="ABM21" s="55"/>
      <c r="ABN21" s="55"/>
      <c r="ABO21" s="55"/>
      <c r="ABP21" s="55"/>
      <c r="ABQ21" s="55"/>
      <c r="ABR21" s="55"/>
      <c r="ABS21" s="55"/>
      <c r="ABT21" s="55"/>
      <c r="ABU21" s="55"/>
      <c r="ABV21" s="55"/>
      <c r="ABW21" s="55"/>
      <c r="ABX21" s="55"/>
      <c r="ABY21" s="55"/>
      <c r="ABZ21" s="55"/>
      <c r="ACA21" s="55"/>
      <c r="ACB21" s="55"/>
      <c r="ACC21" s="55"/>
      <c r="ACD21" s="55"/>
      <c r="ACE21" s="55"/>
      <c r="ACF21" s="55"/>
      <c r="ACG21" s="55"/>
      <c r="ACH21" s="55"/>
      <c r="ACI21" s="55"/>
      <c r="ACJ21" s="55"/>
      <c r="ACK21" s="55"/>
      <c r="ACL21" s="55"/>
      <c r="ACM21" s="55"/>
      <c r="ACN21" s="55"/>
      <c r="ACO21" s="55"/>
      <c r="ACP21" s="55"/>
      <c r="ACQ21" s="55"/>
      <c r="ACR21" s="55"/>
      <c r="ACS21" s="55"/>
      <c r="ACT21" s="55"/>
      <c r="ACU21" s="55"/>
      <c r="ACV21" s="55"/>
      <c r="ACW21" s="55"/>
      <c r="ACX21" s="55"/>
      <c r="ACY21" s="55"/>
      <c r="ACZ21" s="55"/>
      <c r="ADA21" s="55"/>
      <c r="ADB21" s="55"/>
      <c r="ADC21" s="55"/>
      <c r="ADD21" s="55"/>
      <c r="ADE21" s="55"/>
      <c r="ADF21" s="55"/>
      <c r="ADG21" s="55"/>
      <c r="ADH21" s="55"/>
      <c r="ADI21" s="55"/>
      <c r="ADJ21" s="55"/>
      <c r="ADK21" s="55"/>
      <c r="ADL21" s="55"/>
      <c r="ADM21" s="55"/>
      <c r="ADN21" s="55"/>
      <c r="ADO21" s="55"/>
      <c r="ADP21" s="55"/>
      <c r="ADQ21" s="55"/>
      <c r="ADR21" s="55"/>
      <c r="ADS21" s="55"/>
      <c r="ADT21" s="55"/>
      <c r="ADU21" s="55"/>
      <c r="ADV21" s="55"/>
      <c r="ADW21" s="55"/>
      <c r="ADX21" s="55"/>
      <c r="ADY21" s="55"/>
      <c r="ADZ21" s="55"/>
      <c r="AEA21" s="55"/>
      <c r="AEB21" s="55"/>
      <c r="AEC21" s="55"/>
      <c r="AED21" s="55"/>
      <c r="AEE21" s="55"/>
      <c r="AEF21" s="55"/>
      <c r="AEG21" s="55"/>
      <c r="AEH21" s="55"/>
      <c r="AEI21" s="55"/>
      <c r="AEJ21" s="55"/>
      <c r="AEK21" s="55"/>
      <c r="AEL21" s="55"/>
      <c r="AEM21" s="55"/>
      <c r="AEN21" s="55"/>
      <c r="AEO21" s="55"/>
      <c r="AEP21" s="55"/>
      <c r="AEQ21" s="55"/>
      <c r="AER21" s="55"/>
      <c r="AES21" s="55"/>
      <c r="AET21" s="55"/>
      <c r="AEU21" s="55"/>
      <c r="AEV21" s="55"/>
      <c r="AEW21" s="55"/>
      <c r="AEX21" s="55"/>
      <c r="AEY21" s="55"/>
      <c r="AEZ21" s="55"/>
      <c r="AFA21" s="55"/>
      <c r="AFB21" s="55"/>
      <c r="AFC21" s="55"/>
      <c r="AFD21" s="55"/>
      <c r="AFE21" s="55"/>
      <c r="AFF21" s="55"/>
      <c r="AFG21" s="55"/>
      <c r="AFH21" s="55"/>
      <c r="AFI21" s="55"/>
      <c r="AFJ21" s="55"/>
      <c r="AFK21" s="55"/>
      <c r="AFL21" s="55"/>
      <c r="AFM21" s="55"/>
      <c r="AFN21" s="55"/>
      <c r="AFO21" s="55"/>
      <c r="AFP21" s="55"/>
      <c r="AFQ21" s="55"/>
      <c r="AFR21" s="55"/>
      <c r="AFS21" s="55"/>
      <c r="AFT21" s="55"/>
      <c r="AFU21" s="55"/>
      <c r="AFV21" s="55"/>
      <c r="AFW21" s="55"/>
      <c r="AFX21" s="55"/>
      <c r="AFY21" s="55"/>
      <c r="AFZ21" s="55"/>
      <c r="AGA21" s="55"/>
      <c r="AGB21" s="55"/>
      <c r="AGC21" s="55"/>
      <c r="AGD21" s="55"/>
      <c r="AGE21" s="55"/>
      <c r="AGF21" s="55"/>
      <c r="AGG21" s="55"/>
      <c r="AGH21" s="55"/>
      <c r="AGI21" s="55"/>
      <c r="AGJ21" s="55"/>
      <c r="AGK21" s="55"/>
      <c r="AGL21" s="55"/>
      <c r="AGM21" s="55"/>
      <c r="AGN21" s="55"/>
      <c r="AGO21" s="55"/>
      <c r="AGP21" s="55"/>
      <c r="AGQ21" s="55"/>
      <c r="AGR21" s="55"/>
      <c r="AGS21" s="55"/>
      <c r="AGT21" s="55"/>
      <c r="AGU21" s="55"/>
      <c r="AGV21" s="55"/>
      <c r="AGW21" s="55"/>
      <c r="AGX21" s="55"/>
      <c r="AGY21" s="55"/>
      <c r="AGZ21" s="55"/>
      <c r="AHA21" s="55"/>
      <c r="AHB21" s="55"/>
      <c r="AHC21" s="55"/>
      <c r="AHD21" s="55"/>
      <c r="AHE21" s="55"/>
      <c r="AHF21" s="55"/>
      <c r="AHG21" s="55"/>
      <c r="AHH21" s="55"/>
      <c r="AHI21" s="55"/>
      <c r="AHJ21" s="55"/>
      <c r="AHK21" s="55"/>
      <c r="AHL21" s="55"/>
      <c r="AHM21" s="55"/>
      <c r="AHN21" s="55"/>
      <c r="AHO21" s="55"/>
      <c r="AHP21" s="55"/>
      <c r="AHQ21" s="55"/>
      <c r="AHR21" s="55"/>
      <c r="AHS21" s="55"/>
      <c r="AHT21" s="55"/>
      <c r="AHU21" s="55"/>
      <c r="AHV21" s="55"/>
      <c r="AHW21" s="55"/>
      <c r="AHX21" s="55"/>
      <c r="AHY21" s="55"/>
      <c r="AHZ21" s="55"/>
      <c r="AIA21" s="55"/>
      <c r="AIB21" s="55"/>
      <c r="AIC21" s="55"/>
      <c r="AID21" s="55"/>
      <c r="AIE21" s="55"/>
      <c r="AIF21" s="55"/>
      <c r="AIG21" s="55"/>
      <c r="AIH21" s="55"/>
      <c r="AII21" s="55"/>
      <c r="AIJ21" s="55"/>
      <c r="AIK21" s="55"/>
      <c r="AIL21" s="55"/>
      <c r="AIM21" s="55"/>
      <c r="AIN21" s="55"/>
      <c r="AIO21" s="55"/>
      <c r="AIP21" s="55"/>
      <c r="AIQ21" s="55"/>
      <c r="AIR21" s="55"/>
      <c r="AIS21" s="55"/>
      <c r="AIT21" s="55"/>
      <c r="AIU21" s="55"/>
      <c r="AIV21" s="55"/>
      <c r="AIW21" s="55"/>
      <c r="AIX21" s="55"/>
      <c r="AIY21" s="55"/>
      <c r="AIZ21" s="55"/>
      <c r="AJA21" s="55"/>
      <c r="AJB21" s="55"/>
      <c r="AJC21" s="55"/>
      <c r="AJD21" s="55"/>
      <c r="AJE21" s="55"/>
      <c r="AJF21" s="55"/>
      <c r="AJG21" s="55"/>
      <c r="AJH21" s="55"/>
      <c r="AJI21" s="55"/>
      <c r="AJJ21" s="55"/>
      <c r="AJK21" s="55"/>
      <c r="AJL21" s="55"/>
      <c r="AJM21" s="55"/>
      <c r="AJN21" s="55"/>
      <c r="AJO21" s="55"/>
      <c r="AJP21" s="55"/>
      <c r="AJQ21" s="55"/>
      <c r="AJR21" s="55"/>
      <c r="AJS21" s="55"/>
      <c r="AJT21" s="55"/>
      <c r="AJU21" s="55"/>
      <c r="AJV21" s="55"/>
      <c r="AJW21" s="55"/>
      <c r="AJX21" s="55"/>
      <c r="AJY21" s="55"/>
      <c r="AJZ21" s="55"/>
      <c r="AKA21" s="55"/>
      <c r="AKB21" s="55"/>
      <c r="AKC21" s="55"/>
      <c r="AKD21" s="55"/>
      <c r="AKE21" s="55"/>
      <c r="AKF21" s="55"/>
      <c r="AKG21" s="55"/>
      <c r="AKH21" s="55"/>
      <c r="AKI21" s="55"/>
      <c r="AKJ21" s="55"/>
      <c r="AKK21" s="55"/>
      <c r="AKL21" s="55"/>
      <c r="AKM21" s="55"/>
      <c r="AKN21" s="55"/>
      <c r="AKO21" s="55"/>
      <c r="AKP21" s="55"/>
      <c r="AKQ21" s="55"/>
      <c r="AKR21" s="55"/>
      <c r="AKS21" s="55"/>
      <c r="AKT21" s="55"/>
      <c r="AKU21" s="55"/>
      <c r="AKV21" s="55"/>
      <c r="AKW21" s="55"/>
      <c r="AKX21" s="55"/>
      <c r="AKY21" s="55"/>
      <c r="AKZ21" s="55"/>
      <c r="ALA21" s="55"/>
      <c r="ALB21" s="55"/>
      <c r="ALC21" s="55"/>
      <c r="ALD21" s="55"/>
      <c r="ALE21" s="55"/>
      <c r="ALF21" s="55"/>
      <c r="ALG21" s="55"/>
      <c r="ALH21" s="55"/>
      <c r="ALI21" s="55"/>
      <c r="ALJ21" s="55"/>
      <c r="ALK21" s="55"/>
      <c r="ALL21" s="55"/>
      <c r="ALM21" s="55"/>
      <c r="ALN21" s="55"/>
      <c r="ALO21" s="55"/>
      <c r="ALP21" s="55"/>
      <c r="ALQ21" s="55"/>
      <c r="ALR21" s="55"/>
      <c r="ALS21" s="55"/>
      <c r="ALT21" s="55"/>
      <c r="ALU21" s="55"/>
      <c r="ALV21" s="55"/>
      <c r="ALW21" s="55"/>
      <c r="ALX21" s="55"/>
    </row>
    <row r="22" customFormat="false" ht="18" hidden="false" customHeight="true" outlineLevel="0" collapsed="false">
      <c r="H22" s="79"/>
      <c r="R22" s="80"/>
      <c r="S22" s="80"/>
      <c r="T22" s="80"/>
      <c r="U22" s="80"/>
      <c r="V22" s="80"/>
      <c r="W22" s="80"/>
      <c r="X22" s="80"/>
      <c r="Y22" s="80"/>
      <c r="Z22" s="80"/>
      <c r="AA22" s="80"/>
      <c r="AB22" s="80"/>
      <c r="AC22" s="80"/>
      <c r="AD22" s="56"/>
      <c r="AE22" s="56"/>
      <c r="AF22" s="56"/>
      <c r="AG22" s="56"/>
    </row>
    <row r="23" customFormat="false" ht="39.75" hidden="false" customHeight="true" outlineLevel="0" collapsed="false">
      <c r="B23" s="47" t="s">
        <v>30</v>
      </c>
      <c r="C23" s="81" t="s">
        <v>102</v>
      </c>
      <c r="D23" s="81" t="s">
        <v>103</v>
      </c>
      <c r="E23" s="81" t="s">
        <v>104</v>
      </c>
      <c r="R23" s="82"/>
      <c r="Z23" s="82"/>
      <c r="AA23" s="82"/>
      <c r="AB23" s="82"/>
      <c r="AC23" s="82"/>
    </row>
    <row r="24" customFormat="false" ht="18" hidden="false" customHeight="true" outlineLevel="0" collapsed="false">
      <c r="B24" s="47"/>
      <c r="C24" s="24" t="n">
        <f aca="false">'Comp. Oficial de Manutenção SC'!D11</f>
        <v>32.38</v>
      </c>
      <c r="D24" s="24" t="n">
        <v>24.12</v>
      </c>
      <c r="E24" s="24" t="n">
        <v>41.09</v>
      </c>
    </row>
    <row r="25" customFormat="false" ht="28.5" hidden="false" customHeight="true" outlineLevel="0" collapsed="false">
      <c r="B25" s="51" t="s">
        <v>37</v>
      </c>
    </row>
    <row r="26" customFormat="false" ht="23.25" hidden="false" customHeight="true" outlineLevel="0" collapsed="false"/>
  </sheetData>
  <mergeCells count="44">
    <mergeCell ref="B2:O2"/>
    <mergeCell ref="Q2:AG2"/>
    <mergeCell ref="AI2:AW2"/>
    <mergeCell ref="B4:B6"/>
    <mergeCell ref="C4:G4"/>
    <mergeCell ref="H4:N4"/>
    <mergeCell ref="O4:O6"/>
    <mergeCell ref="Q4:Q6"/>
    <mergeCell ref="R4:U4"/>
    <mergeCell ref="V4:Y4"/>
    <mergeCell ref="Z4:AC4"/>
    <mergeCell ref="AD4:AG4"/>
    <mergeCell ref="AI4:AI6"/>
    <mergeCell ref="AJ4:AN4"/>
    <mergeCell ref="AO4:AQ4"/>
    <mergeCell ref="AS4:AW4"/>
    <mergeCell ref="G5:G6"/>
    <mergeCell ref="N5:N6"/>
    <mergeCell ref="V5:V6"/>
    <mergeCell ref="W5:W6"/>
    <mergeCell ref="X5:X6"/>
    <mergeCell ref="Y5:Y6"/>
    <mergeCell ref="Z5:AB5"/>
    <mergeCell ref="AD5:AD6"/>
    <mergeCell ref="AE5:AE6"/>
    <mergeCell ref="AF5:AF6"/>
    <mergeCell ref="AG5:AG6"/>
    <mergeCell ref="AJ5:AJ6"/>
    <mergeCell ref="AK5:AK6"/>
    <mergeCell ref="AL5:AL6"/>
    <mergeCell ref="AM5:AM6"/>
    <mergeCell ref="AN5:AN6"/>
    <mergeCell ref="AO5:AO6"/>
    <mergeCell ref="AP5:AP6"/>
    <mergeCell ref="AQ5:AQ6"/>
    <mergeCell ref="AS5:AS6"/>
    <mergeCell ref="AT10:AU10"/>
    <mergeCell ref="AT11:AU11"/>
    <mergeCell ref="AT12:AU12"/>
    <mergeCell ref="AT13:AU13"/>
    <mergeCell ref="AT14:AU14"/>
    <mergeCell ref="AT15:AU15"/>
    <mergeCell ref="AI21:AJ21"/>
    <mergeCell ref="B23:B24"/>
  </mergeCells>
  <printOptions headings="false" gridLines="false" gridLinesSet="true" horizontalCentered="true" verticalCentered="true"/>
  <pageMargins left="0.0784722222222222" right="0.0381944444444445" top="0.196527777777778" bottom="0.196527777777778" header="0.511811023622047" footer="0.511811023622047"/>
  <pageSetup paperSize="9" scale="100" fitToWidth="1" fitToHeight="1" pageOrder="overThenDown" orientation="portrait" blackAndWhite="false" draft="false" cellComments="none" firstPageNumber="1" useFirstPageNumber="true" horizontalDpi="300" verticalDpi="300" copies="1"/>
  <headerFooter differentFirst="false" differentOddEven="false">
    <oddHeader/>
    <odd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FFFFFF"/>
    <pageSetUpPr fitToPage="false"/>
  </sheetPr>
  <dimension ref="B1:S1048576"/>
  <sheetViews>
    <sheetView showFormulas="false" showGridLines="false" showRowColHeaders="true" showZeros="true" rightToLeft="false" tabSelected="false" showOutlineSymbols="true" defaultGridColor="true" view="normal" topLeftCell="A1" colorId="64" zoomScale="90" zoomScaleNormal="90" zoomScalePageLayoutView="100" workbookViewId="0">
      <selection pane="topLeft" activeCell="R19" activeCellId="0" sqref="R19"/>
    </sheetView>
  </sheetViews>
  <sheetFormatPr defaultColWidth="8.41015625" defaultRowHeight="14.25" zeroHeight="false" outlineLevelRow="0" outlineLevelCol="0"/>
  <cols>
    <col collapsed="false" customWidth="true" hidden="false" outlineLevel="0" max="1" min="1" style="1" width="5.62"/>
    <col collapsed="false" customWidth="true" hidden="false" outlineLevel="0" max="2" min="2" style="83" width="12.62"/>
    <col collapsed="false" customWidth="true" hidden="false" outlineLevel="0" max="3" min="3" style="83" width="32.62"/>
    <col collapsed="false" customWidth="true" hidden="false" outlineLevel="0" max="13" min="4" style="83" width="9.62"/>
    <col collapsed="false" customWidth="true" hidden="false" outlineLevel="0" max="15" min="14" style="84" width="9.62"/>
    <col collapsed="false" customWidth="true" hidden="false" outlineLevel="0" max="17" min="16" style="83" width="9.62"/>
    <col collapsed="false" customWidth="true" hidden="false" outlineLevel="0" max="260" min="18" style="83" width="8.62"/>
    <col collapsed="false" customWidth="true" hidden="false" outlineLevel="0" max="1026" min="261" style="1" width="8.62"/>
  </cols>
  <sheetData>
    <row r="1" customFormat="false" ht="15" hidden="false" customHeight="true" outlineLevel="0" collapsed="false"/>
    <row r="2" customFormat="false" ht="24.75" hidden="false" customHeight="true" outlineLevel="0" collapsed="false">
      <c r="B2" s="18" t="str">
        <f aca="false">"DESLOCAMENTO BASE "&amp;Resumo!B5</f>
        <v>DESLOCAMENTO BASE CHAPECÓ</v>
      </c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</row>
    <row r="3" customFormat="false" ht="15" hidden="false" customHeight="true" outlineLevel="0" collapsed="false">
      <c r="B3" s="85"/>
      <c r="C3" s="85"/>
      <c r="D3" s="85"/>
      <c r="E3" s="85"/>
      <c r="F3" s="85"/>
      <c r="G3" s="85"/>
      <c r="H3" s="85"/>
      <c r="I3" s="85"/>
      <c r="J3" s="85"/>
      <c r="K3" s="85"/>
      <c r="L3" s="85"/>
      <c r="M3" s="85"/>
      <c r="N3" s="85"/>
      <c r="O3" s="85"/>
    </row>
    <row r="4" customFormat="false" ht="37.5" hidden="false" customHeight="true" outlineLevel="0" collapsed="false">
      <c r="B4" s="21" t="s">
        <v>105</v>
      </c>
      <c r="C4" s="21" t="str">
        <f aca="false">"Rota (saída e retorno "&amp;Resumo!B5&amp;")"</f>
        <v>Rota (saída e retorno CHAPECÓ)</v>
      </c>
      <c r="D4" s="21" t="s">
        <v>106</v>
      </c>
      <c r="E4" s="21" t="s">
        <v>107</v>
      </c>
      <c r="F4" s="21" t="s">
        <v>108</v>
      </c>
      <c r="G4" s="21" t="s">
        <v>109</v>
      </c>
      <c r="H4" s="21" t="s">
        <v>110</v>
      </c>
      <c r="I4" s="21" t="s">
        <v>111</v>
      </c>
      <c r="J4" s="21" t="s">
        <v>112</v>
      </c>
      <c r="K4" s="21" t="s">
        <v>113</v>
      </c>
      <c r="L4" s="21" t="s">
        <v>114</v>
      </c>
      <c r="M4" s="86" t="s">
        <v>115</v>
      </c>
      <c r="N4" s="21" t="s">
        <v>116</v>
      </c>
      <c r="O4" s="86" t="s">
        <v>117</v>
      </c>
      <c r="P4" s="21" t="s">
        <v>118</v>
      </c>
      <c r="Q4" s="86" t="s">
        <v>67</v>
      </c>
      <c r="R4" s="32" t="s">
        <v>119</v>
      </c>
      <c r="S4" s="32" t="s">
        <v>120</v>
      </c>
    </row>
    <row r="5" customFormat="false" ht="16.5" hidden="false" customHeight="true" outlineLevel="0" collapsed="false">
      <c r="B5" s="50" t="n">
        <v>1</v>
      </c>
      <c r="C5" s="87" t="s">
        <v>100</v>
      </c>
      <c r="D5" s="88" t="n">
        <v>1</v>
      </c>
      <c r="E5" s="88" t="n">
        <v>0.85</v>
      </c>
      <c r="F5" s="88" t="n">
        <v>0</v>
      </c>
      <c r="G5" s="89" t="n">
        <f aca="false">SUM(D5:F5)</f>
        <v>1.85</v>
      </c>
      <c r="H5" s="90" t="n">
        <v>2</v>
      </c>
      <c r="I5" s="90" t="n">
        <v>2</v>
      </c>
      <c r="J5" s="90" t="n">
        <v>0</v>
      </c>
      <c r="K5" s="91" t="n">
        <f aca="false">SUM(H5:J5)</f>
        <v>4</v>
      </c>
      <c r="L5" s="92" t="n">
        <f aca="false">K5/60</f>
        <v>0.0666666666666667</v>
      </c>
      <c r="M5" s="93" t="n">
        <v>0</v>
      </c>
      <c r="N5" s="94" t="n">
        <v>2</v>
      </c>
      <c r="O5" s="95" t="n">
        <f aca="false">L5/N5</f>
        <v>0.0333333333333333</v>
      </c>
      <c r="P5" s="96" t="n">
        <f aca="false">M5/N5</f>
        <v>0</v>
      </c>
      <c r="Q5" s="97" t="n">
        <v>0</v>
      </c>
      <c r="R5" s="98" t="str">
        <f aca="false">INDEX('Base Chapecó'!$K$7:$K$20,MATCH(C5,'Base Chapecó'!$B$7:$B$20,0))</f>
        <v>SIM</v>
      </c>
      <c r="S5" s="99" t="n">
        <v>1</v>
      </c>
    </row>
    <row r="6" customFormat="false" ht="16.5" hidden="false" customHeight="true" outlineLevel="0" collapsed="false">
      <c r="B6" s="50"/>
      <c r="C6" s="87" t="s">
        <v>86</v>
      </c>
      <c r="D6" s="88"/>
      <c r="E6" s="88"/>
      <c r="F6" s="88"/>
      <c r="G6" s="89"/>
      <c r="H6" s="90"/>
      <c r="I6" s="90"/>
      <c r="J6" s="90"/>
      <c r="K6" s="91"/>
      <c r="L6" s="92"/>
      <c r="M6" s="93"/>
      <c r="N6" s="94"/>
      <c r="O6" s="100" t="n">
        <f aca="false">O5</f>
        <v>0.0333333333333333</v>
      </c>
      <c r="P6" s="101" t="n">
        <f aca="false">P5</f>
        <v>0</v>
      </c>
      <c r="Q6" s="102" t="n">
        <v>0</v>
      </c>
      <c r="R6" s="98" t="str">
        <f aca="false">INDEX('Base Chapecó'!$K$7:$K$20,MATCH(C6,'Base Chapecó'!$B$7:$B$20,0))</f>
        <v>SIM</v>
      </c>
      <c r="S6" s="99" t="n">
        <v>1</v>
      </c>
    </row>
    <row r="7" customFormat="false" ht="16.5" hidden="false" customHeight="true" outlineLevel="0" collapsed="false">
      <c r="B7" s="50" t="n">
        <v>2</v>
      </c>
      <c r="C7" s="87" t="s">
        <v>98</v>
      </c>
      <c r="D7" s="88" t="n">
        <v>46.9</v>
      </c>
      <c r="E7" s="88" t="n">
        <v>21</v>
      </c>
      <c r="F7" s="88" t="n">
        <v>32.3</v>
      </c>
      <c r="G7" s="89" t="n">
        <f aca="false">SUM(D7:F7)</f>
        <v>100.2</v>
      </c>
      <c r="H7" s="90" t="n">
        <v>50</v>
      </c>
      <c r="I7" s="90" t="n">
        <v>22</v>
      </c>
      <c r="J7" s="90" t="n">
        <v>38</v>
      </c>
      <c r="K7" s="91" t="n">
        <f aca="false">SUM(H7:J7)</f>
        <v>110</v>
      </c>
      <c r="L7" s="92" t="n">
        <f aca="false">K7/60</f>
        <v>1.83333333333333</v>
      </c>
      <c r="M7" s="93" t="n">
        <v>0</v>
      </c>
      <c r="N7" s="103" t="n">
        <v>2</v>
      </c>
      <c r="O7" s="104" t="n">
        <f aca="false">L7/N7</f>
        <v>0.916666666666667</v>
      </c>
      <c r="P7" s="105" t="n">
        <f aca="false">M7/N7</f>
        <v>0</v>
      </c>
      <c r="Q7" s="97" t="n">
        <v>0</v>
      </c>
      <c r="R7" s="98" t="str">
        <f aca="false">INDEX('Base Chapecó'!$K$7:$K$20,MATCH(C7,'Base Chapecó'!$B$7:$B$20,0))</f>
        <v>SIM</v>
      </c>
      <c r="S7" s="99" t="n">
        <v>1</v>
      </c>
    </row>
    <row r="8" customFormat="false" ht="16.5" hidden="false" customHeight="true" outlineLevel="0" collapsed="false">
      <c r="B8" s="50"/>
      <c r="C8" s="87" t="s">
        <v>99</v>
      </c>
      <c r="D8" s="88"/>
      <c r="E8" s="88"/>
      <c r="F8" s="88"/>
      <c r="G8" s="89"/>
      <c r="H8" s="90"/>
      <c r="I8" s="90"/>
      <c r="J8" s="90"/>
      <c r="K8" s="91"/>
      <c r="L8" s="92"/>
      <c r="M8" s="93"/>
      <c r="N8" s="103"/>
      <c r="O8" s="100" t="n">
        <f aca="false">O7</f>
        <v>0.916666666666667</v>
      </c>
      <c r="P8" s="106" t="n">
        <f aca="false">P7</f>
        <v>0</v>
      </c>
      <c r="Q8" s="107" t="n">
        <v>0</v>
      </c>
      <c r="R8" s="98" t="str">
        <f aca="false">INDEX('Base Chapecó'!$K$7:$K$20,MATCH(C8,'Base Chapecó'!$B$7:$B$20,0))</f>
        <v>NÃO</v>
      </c>
      <c r="S8" s="99" t="n">
        <v>1</v>
      </c>
    </row>
    <row r="9" customFormat="false" ht="16.5" hidden="false" customHeight="true" outlineLevel="0" collapsed="false">
      <c r="B9" s="50" t="n">
        <v>3</v>
      </c>
      <c r="C9" s="87" t="s">
        <v>85</v>
      </c>
      <c r="D9" s="88" t="n">
        <v>152</v>
      </c>
      <c r="E9" s="88" t="n">
        <v>71.7</v>
      </c>
      <c r="F9" s="88" t="n">
        <v>81.9</v>
      </c>
      <c r="G9" s="89" t="n">
        <f aca="false">SUM(D9:F9)</f>
        <v>305.6</v>
      </c>
      <c r="H9" s="88" t="n">
        <v>168</v>
      </c>
      <c r="I9" s="88" t="n">
        <v>84</v>
      </c>
      <c r="J9" s="88" t="n">
        <v>103</v>
      </c>
      <c r="K9" s="89" t="n">
        <f aca="false">SUM(H9:J9)</f>
        <v>355</v>
      </c>
      <c r="L9" s="89" t="n">
        <f aca="false">K9/60</f>
        <v>5.91666666666667</v>
      </c>
      <c r="M9" s="93" t="n">
        <v>0</v>
      </c>
      <c r="N9" s="103" t="n">
        <v>2</v>
      </c>
      <c r="O9" s="95" t="n">
        <f aca="false">L9/N9</f>
        <v>2.95833333333333</v>
      </c>
      <c r="P9" s="97" t="n">
        <f aca="false">M9/N9</f>
        <v>0</v>
      </c>
      <c r="Q9" s="102" t="n">
        <f aca="false">$E$37/N9</f>
        <v>66.37</v>
      </c>
      <c r="R9" s="98" t="str">
        <f aca="false">INDEX('Base Chapecó'!$K$7:$K$20,MATCH(C9,'Base Chapecó'!$B$7:$B$20,0))</f>
        <v>SIM</v>
      </c>
      <c r="S9" s="99" t="n">
        <v>1</v>
      </c>
    </row>
    <row r="10" customFormat="false" ht="16.5" hidden="false" customHeight="true" outlineLevel="0" collapsed="false">
      <c r="B10" s="50"/>
      <c r="C10" s="87" t="s">
        <v>87</v>
      </c>
      <c r="D10" s="88"/>
      <c r="E10" s="88"/>
      <c r="F10" s="88"/>
      <c r="G10" s="89"/>
      <c r="H10" s="88"/>
      <c r="I10" s="88"/>
      <c r="J10" s="88"/>
      <c r="K10" s="89"/>
      <c r="L10" s="89"/>
      <c r="M10" s="93"/>
      <c r="N10" s="103"/>
      <c r="O10" s="100" t="n">
        <f aca="false">O9</f>
        <v>2.95833333333333</v>
      </c>
      <c r="P10" s="107" t="n">
        <f aca="false">P9</f>
        <v>0</v>
      </c>
      <c r="Q10" s="107" t="n">
        <f aca="false">Q9</f>
        <v>66.37</v>
      </c>
      <c r="R10" s="98" t="str">
        <f aca="false">INDEX('Base Chapecó'!$K$7:$K$20,MATCH(C10,'Base Chapecó'!$B$7:$B$20,0))</f>
        <v>SIM</v>
      </c>
      <c r="S10" s="99" t="n">
        <v>1</v>
      </c>
    </row>
    <row r="11" customFormat="false" ht="16.5" hidden="false" customHeight="true" outlineLevel="0" collapsed="false">
      <c r="B11" s="50" t="n">
        <v>4</v>
      </c>
      <c r="C11" s="87" t="s">
        <v>83</v>
      </c>
      <c r="D11" s="88" t="n">
        <v>208</v>
      </c>
      <c r="E11" s="88" t="n">
        <v>44.7</v>
      </c>
      <c r="F11" s="88" t="n">
        <v>169</v>
      </c>
      <c r="G11" s="89" t="n">
        <f aca="false">SUM(D11:F11)</f>
        <v>421.7</v>
      </c>
      <c r="H11" s="88" t="n">
        <v>191</v>
      </c>
      <c r="I11" s="88" t="n">
        <v>45</v>
      </c>
      <c r="J11" s="88" t="n">
        <v>163</v>
      </c>
      <c r="K11" s="89" t="n">
        <f aca="false">SUM(H11:J11)</f>
        <v>399</v>
      </c>
      <c r="L11" s="89" t="n">
        <f aca="false">K11/60</f>
        <v>6.65</v>
      </c>
      <c r="M11" s="93" t="n">
        <v>0</v>
      </c>
      <c r="N11" s="103" t="n">
        <v>2</v>
      </c>
      <c r="O11" s="95" t="n">
        <f aca="false">L11/N11</f>
        <v>3.325</v>
      </c>
      <c r="P11" s="97" t="n">
        <f aca="false">M11/N11</f>
        <v>0</v>
      </c>
      <c r="Q11" s="102" t="n">
        <f aca="false">$E$37/N11</f>
        <v>66.37</v>
      </c>
      <c r="R11" s="98" t="str">
        <f aca="false">INDEX('Base Chapecó'!$K$7:$K$20,MATCH(C11,'Base Chapecó'!$B$7:$B$20,0))</f>
        <v>SIM</v>
      </c>
      <c r="S11" s="99" t="n">
        <v>1</v>
      </c>
    </row>
    <row r="12" customFormat="false" ht="16.5" hidden="false" customHeight="true" outlineLevel="0" collapsed="false">
      <c r="B12" s="50"/>
      <c r="C12" s="87" t="s">
        <v>90</v>
      </c>
      <c r="D12" s="88"/>
      <c r="E12" s="88"/>
      <c r="F12" s="88"/>
      <c r="G12" s="89"/>
      <c r="H12" s="88"/>
      <c r="I12" s="88"/>
      <c r="J12" s="88"/>
      <c r="K12" s="89"/>
      <c r="L12" s="89"/>
      <c r="M12" s="93" t="n">
        <v>0</v>
      </c>
      <c r="N12" s="103"/>
      <c r="O12" s="100" t="n">
        <f aca="false">O11</f>
        <v>3.325</v>
      </c>
      <c r="P12" s="107" t="n">
        <f aca="false">P11</f>
        <v>0</v>
      </c>
      <c r="Q12" s="107" t="n">
        <f aca="false">Q11</f>
        <v>66.37</v>
      </c>
      <c r="R12" s="98" t="str">
        <f aca="false">INDEX('Base Chapecó'!$K$7:$K$20,MATCH(C12,'Base Chapecó'!$B$7:$B$20,0))</f>
        <v>SIM</v>
      </c>
      <c r="S12" s="99" t="n">
        <v>1</v>
      </c>
    </row>
    <row r="13" customFormat="false" ht="16.5" hidden="false" customHeight="true" outlineLevel="0" collapsed="false">
      <c r="B13" s="50" t="n">
        <v>5</v>
      </c>
      <c r="C13" s="87" t="s">
        <v>89</v>
      </c>
      <c r="D13" s="88" t="n">
        <v>236</v>
      </c>
      <c r="E13" s="88" t="n">
        <v>26.2</v>
      </c>
      <c r="F13" s="88" t="n">
        <v>214</v>
      </c>
      <c r="G13" s="89" t="n">
        <f aca="false">SUM(D13:F13)</f>
        <v>476.2</v>
      </c>
      <c r="H13" s="88" t="n">
        <v>243</v>
      </c>
      <c r="I13" s="88" t="n">
        <v>31</v>
      </c>
      <c r="J13" s="88" t="n">
        <v>219</v>
      </c>
      <c r="K13" s="89" t="n">
        <f aca="false">SUM(H13:J13)</f>
        <v>493</v>
      </c>
      <c r="L13" s="89" t="n">
        <f aca="false">K13/60</f>
        <v>8.21666666666667</v>
      </c>
      <c r="M13" s="93" t="n">
        <v>0</v>
      </c>
      <c r="N13" s="103" t="n">
        <v>2</v>
      </c>
      <c r="O13" s="95" t="n">
        <f aca="false">L13/N13</f>
        <v>4.10833333333333</v>
      </c>
      <c r="P13" s="97" t="n">
        <f aca="false">M13/N13</f>
        <v>0</v>
      </c>
      <c r="Q13" s="102" t="n">
        <f aca="false">$E$37/N13</f>
        <v>66.37</v>
      </c>
      <c r="R13" s="98" t="str">
        <f aca="false">INDEX('Base Chapecó'!$K$7:$K$20,MATCH(C13,'Base Chapecó'!$B$7:$B$20,0))</f>
        <v>SIM</v>
      </c>
      <c r="S13" s="99" t="n">
        <v>1</v>
      </c>
    </row>
    <row r="14" customFormat="false" ht="16.5" hidden="false" customHeight="true" outlineLevel="0" collapsed="false">
      <c r="B14" s="50"/>
      <c r="C14" s="87" t="s">
        <v>97</v>
      </c>
      <c r="D14" s="88"/>
      <c r="E14" s="88"/>
      <c r="F14" s="88"/>
      <c r="G14" s="89"/>
      <c r="H14" s="88"/>
      <c r="I14" s="88"/>
      <c r="J14" s="88"/>
      <c r="K14" s="89"/>
      <c r="L14" s="89"/>
      <c r="M14" s="93"/>
      <c r="N14" s="103"/>
      <c r="O14" s="100" t="n">
        <f aca="false">O13</f>
        <v>4.10833333333333</v>
      </c>
      <c r="P14" s="107" t="n">
        <f aca="false">P13</f>
        <v>0</v>
      </c>
      <c r="Q14" s="107" t="n">
        <f aca="false">Q13</f>
        <v>66.37</v>
      </c>
      <c r="R14" s="98" t="str">
        <f aca="false">INDEX('Base Chapecó'!$K$7:$K$20,MATCH(C14,'Base Chapecó'!$B$7:$B$20,0))</f>
        <v>SIM</v>
      </c>
      <c r="S14" s="99" t="n">
        <v>1</v>
      </c>
    </row>
    <row r="15" customFormat="false" ht="16.5" hidden="false" customHeight="true" outlineLevel="0" collapsed="false">
      <c r="B15" s="50" t="n">
        <v>6</v>
      </c>
      <c r="C15" s="87" t="s">
        <v>92</v>
      </c>
      <c r="D15" s="88" t="n">
        <v>88.4</v>
      </c>
      <c r="E15" s="88" t="n">
        <v>30.4</v>
      </c>
      <c r="F15" s="88" t="n">
        <v>62.8</v>
      </c>
      <c r="G15" s="89" t="n">
        <f aca="false">SUM(D15:F15)</f>
        <v>181.6</v>
      </c>
      <c r="H15" s="88" t="n">
        <v>91</v>
      </c>
      <c r="I15" s="88" t="n">
        <v>34</v>
      </c>
      <c r="J15" s="88" t="n">
        <v>67</v>
      </c>
      <c r="K15" s="89" t="n">
        <f aca="false">SUM(H15:J15)</f>
        <v>192</v>
      </c>
      <c r="L15" s="89" t="n">
        <f aca="false">K15/60</f>
        <v>3.2</v>
      </c>
      <c r="M15" s="98" t="n">
        <v>0</v>
      </c>
      <c r="N15" s="103" t="n">
        <v>2</v>
      </c>
      <c r="O15" s="95" t="n">
        <f aca="false">L15/N15</f>
        <v>1.6</v>
      </c>
      <c r="P15" s="97" t="n">
        <f aca="false">M15/N15</f>
        <v>0</v>
      </c>
      <c r="Q15" s="97" t="n">
        <v>0</v>
      </c>
      <c r="R15" s="98" t="str">
        <f aca="false">INDEX('Base Chapecó'!$K$7:$K$20,MATCH(C15,'Base Chapecó'!$B$7:$B$20,0))</f>
        <v>SIM</v>
      </c>
      <c r="S15" s="99" t="n">
        <v>1</v>
      </c>
    </row>
    <row r="16" customFormat="false" ht="16.5" hidden="false" customHeight="true" outlineLevel="0" collapsed="false">
      <c r="B16" s="50"/>
      <c r="C16" s="87" t="s">
        <v>94</v>
      </c>
      <c r="D16" s="88"/>
      <c r="E16" s="88"/>
      <c r="F16" s="88"/>
      <c r="G16" s="89"/>
      <c r="H16" s="88"/>
      <c r="I16" s="88"/>
      <c r="J16" s="88"/>
      <c r="K16" s="89"/>
      <c r="L16" s="89"/>
      <c r="M16" s="98"/>
      <c r="N16" s="103"/>
      <c r="O16" s="100" t="n">
        <f aca="false">O15</f>
        <v>1.6</v>
      </c>
      <c r="P16" s="107" t="n">
        <f aca="false">P15</f>
        <v>0</v>
      </c>
      <c r="Q16" s="107" t="n">
        <v>0</v>
      </c>
      <c r="R16" s="98" t="str">
        <f aca="false">INDEX('Base Chapecó'!$K$7:$K$20,MATCH(C16,'Base Chapecó'!$B$7:$B$20,0))</f>
        <v>SIM</v>
      </c>
      <c r="S16" s="99" t="n">
        <v>1</v>
      </c>
    </row>
    <row r="17" customFormat="false" ht="16.5" hidden="false" customHeight="true" outlineLevel="0" collapsed="false">
      <c r="B17" s="108" t="n">
        <v>7</v>
      </c>
      <c r="C17" s="87" t="s">
        <v>96</v>
      </c>
      <c r="D17" s="109" t="n">
        <v>129</v>
      </c>
      <c r="E17" s="109" t="n">
        <v>133</v>
      </c>
      <c r="F17" s="109" t="n">
        <v>0</v>
      </c>
      <c r="G17" s="110" t="n">
        <f aca="false">SUM(D17:F17)</f>
        <v>262</v>
      </c>
      <c r="H17" s="88" t="n">
        <v>127</v>
      </c>
      <c r="I17" s="88" t="n">
        <v>131</v>
      </c>
      <c r="J17" s="88" t="n">
        <v>0</v>
      </c>
      <c r="K17" s="89" t="n">
        <f aca="false">SUM(H17:J17)</f>
        <v>258</v>
      </c>
      <c r="L17" s="110" t="n">
        <f aca="false">K17/60</f>
        <v>4.3</v>
      </c>
      <c r="M17" s="111" t="n">
        <v>0</v>
      </c>
      <c r="N17" s="112" t="n">
        <v>1</v>
      </c>
      <c r="O17" s="113" t="n">
        <f aca="false">L17/N17</f>
        <v>4.3</v>
      </c>
      <c r="P17" s="111" t="n">
        <f aca="false">M17/N17</f>
        <v>0</v>
      </c>
      <c r="Q17" s="111" t="n">
        <v>0</v>
      </c>
      <c r="R17" s="98" t="str">
        <f aca="false">INDEX('Base Chapecó'!$K$7:$K$20,MATCH(C17,'Base Chapecó'!$B$7:$B$20,0))</f>
        <v>SIM</v>
      </c>
      <c r="S17" s="99" t="n">
        <v>1</v>
      </c>
    </row>
    <row r="18" customFormat="false" ht="16.5" hidden="false" customHeight="true" outlineLevel="0" collapsed="false">
      <c r="B18" s="108" t="n">
        <v>8</v>
      </c>
      <c r="C18" s="87" t="s">
        <v>81</v>
      </c>
      <c r="D18" s="109" t="n">
        <v>222</v>
      </c>
      <c r="E18" s="109" t="n">
        <v>227</v>
      </c>
      <c r="F18" s="109" t="n">
        <v>0</v>
      </c>
      <c r="G18" s="110" t="n">
        <f aca="false">SUM(D18:F18)</f>
        <v>449</v>
      </c>
      <c r="H18" s="88" t="n">
        <v>198</v>
      </c>
      <c r="I18" s="88" t="n">
        <v>208</v>
      </c>
      <c r="J18" s="88" t="n">
        <v>0</v>
      </c>
      <c r="K18" s="89" t="n">
        <f aca="false">SUM(H18:J18)</f>
        <v>406</v>
      </c>
      <c r="L18" s="110" t="n">
        <f aca="false">K18/60</f>
        <v>6.76666666666667</v>
      </c>
      <c r="M18" s="111" t="n">
        <v>0</v>
      </c>
      <c r="N18" s="112" t="n">
        <v>1</v>
      </c>
      <c r="O18" s="113" t="n">
        <f aca="false">L18/N18</f>
        <v>6.76666666666667</v>
      </c>
      <c r="P18" s="111" t="n">
        <f aca="false">M18/N18</f>
        <v>0</v>
      </c>
      <c r="Q18" s="102" t="n">
        <f aca="false">$E$37/N18</f>
        <v>132.74</v>
      </c>
      <c r="R18" s="98" t="str">
        <f aca="false">INDEX('Base Chapecó'!$K$7:$K$20,MATCH(C18,'Base Chapecó'!$B$7:$B$20,0))</f>
        <v>SIM</v>
      </c>
      <c r="S18" s="99" t="n">
        <v>1</v>
      </c>
    </row>
    <row r="19" customFormat="false" ht="19.5" hidden="false" customHeight="true" outlineLevel="0" collapsed="false">
      <c r="B19" s="114" t="s">
        <v>101</v>
      </c>
      <c r="C19" s="114"/>
      <c r="D19" s="114"/>
      <c r="E19" s="114"/>
      <c r="F19" s="114"/>
      <c r="G19" s="115" t="n">
        <f aca="false">SUM(G5:G18)</f>
        <v>2198.15</v>
      </c>
      <c r="H19" s="115" t="s">
        <v>101</v>
      </c>
      <c r="I19" s="115"/>
      <c r="J19" s="115"/>
      <c r="K19" s="115" t="n">
        <f aca="false">SUM(K5:K18)</f>
        <v>2217</v>
      </c>
      <c r="L19" s="116" t="n">
        <f aca="false">SUM(L5:L18)</f>
        <v>36.95</v>
      </c>
      <c r="M19" s="117" t="n">
        <f aca="false">SUM(M5:M18)</f>
        <v>0</v>
      </c>
      <c r="N19" s="118" t="n">
        <f aca="false">SUM(N5:N18)</f>
        <v>14</v>
      </c>
      <c r="O19" s="119"/>
      <c r="P19" s="120"/>
      <c r="Q19" s="117" t="n">
        <f aca="false">SUM(Q5:Q18)</f>
        <v>530.96</v>
      </c>
      <c r="R19" s="120"/>
      <c r="S19" s="120"/>
    </row>
    <row r="20" customFormat="false" ht="16.5" hidden="false" customHeight="true" outlineLevel="0" collapsed="false">
      <c r="B20" s="121"/>
      <c r="C20" s="121"/>
      <c r="D20" s="121"/>
      <c r="E20" s="121"/>
      <c r="F20" s="121"/>
    </row>
    <row r="21" customFormat="false" ht="18.75" hidden="false" customHeight="true" outlineLevel="0" collapsed="false">
      <c r="B21" s="122" t="s">
        <v>121</v>
      </c>
      <c r="C21" s="122"/>
      <c r="D21" s="122"/>
      <c r="E21" s="122"/>
      <c r="F21" s="121"/>
      <c r="G21" s="121"/>
      <c r="H21" s="121"/>
      <c r="I21" s="121"/>
      <c r="J21" s="121"/>
      <c r="K21" s="121"/>
      <c r="L21" s="121"/>
      <c r="M21" s="121"/>
      <c r="N21" s="123"/>
      <c r="O21" s="123"/>
    </row>
    <row r="22" customFormat="false" ht="18.75" hidden="false" customHeight="true" outlineLevel="0" collapsed="false">
      <c r="B22" s="124" t="s">
        <v>122</v>
      </c>
      <c r="C22" s="124" t="s">
        <v>123</v>
      </c>
      <c r="D22" s="124" t="s">
        <v>124</v>
      </c>
      <c r="E22" s="124" t="s">
        <v>125</v>
      </c>
      <c r="F22" s="121"/>
      <c r="G22" s="121"/>
      <c r="H22" s="123"/>
      <c r="I22" s="123"/>
      <c r="J22" s="121"/>
      <c r="K22" s="121"/>
      <c r="L22" s="121"/>
      <c r="M22" s="121"/>
      <c r="N22" s="123"/>
      <c r="O22" s="123"/>
    </row>
    <row r="23" customFormat="false" ht="18.75" hidden="false" customHeight="true" outlineLevel="0" collapsed="false">
      <c r="B23" s="50" t="s">
        <v>126</v>
      </c>
      <c r="C23" s="125" t="s">
        <v>127</v>
      </c>
      <c r="D23" s="50" t="s">
        <v>128</v>
      </c>
      <c r="E23" s="126" t="n">
        <f aca="false">'Comp. Veículo SC'!D11</f>
        <v>52.02</v>
      </c>
      <c r="F23" s="121"/>
      <c r="G23" s="121"/>
      <c r="H23" s="127"/>
      <c r="I23" s="127"/>
      <c r="J23" s="121"/>
      <c r="K23" s="121"/>
      <c r="L23" s="121"/>
      <c r="M23" s="121"/>
      <c r="N23" s="123"/>
      <c r="O23" s="123"/>
    </row>
    <row r="24" customFormat="false" ht="18.75" hidden="false" customHeight="true" outlineLevel="0" collapsed="false">
      <c r="B24" s="108" t="s">
        <v>129</v>
      </c>
      <c r="C24" s="128" t="s">
        <v>127</v>
      </c>
      <c r="D24" s="108" t="s">
        <v>130</v>
      </c>
      <c r="E24" s="129" t="n">
        <f aca="false">'Comp. Veículo SC'!D27</f>
        <v>6.95</v>
      </c>
      <c r="F24" s="121"/>
      <c r="G24" s="121"/>
      <c r="H24" s="127"/>
      <c r="I24" s="127"/>
      <c r="J24" s="121"/>
      <c r="K24" s="121"/>
      <c r="L24" s="121"/>
      <c r="M24" s="121"/>
      <c r="N24" s="123"/>
      <c r="O24" s="123"/>
    </row>
    <row r="25" customFormat="false" ht="47.25" hidden="false" customHeight="true" outlineLevel="0" collapsed="false">
      <c r="B25" s="130" t="s">
        <v>131</v>
      </c>
      <c r="C25" s="130"/>
      <c r="D25" s="130"/>
      <c r="E25" s="130"/>
      <c r="F25" s="131"/>
      <c r="G25" s="131"/>
      <c r="H25" s="131"/>
      <c r="I25" s="131"/>
      <c r="J25" s="131"/>
      <c r="K25" s="131"/>
      <c r="L25" s="131"/>
      <c r="M25" s="121"/>
      <c r="N25" s="123"/>
      <c r="O25" s="123"/>
    </row>
    <row r="26" customFormat="false" ht="16.5" hidden="false" customHeight="true" outlineLevel="0" collapsed="false">
      <c r="B26" s="132"/>
      <c r="C26" s="132"/>
      <c r="D26" s="132"/>
      <c r="E26" s="132"/>
      <c r="F26" s="131"/>
      <c r="G26" s="131"/>
      <c r="H26" s="131"/>
      <c r="I26" s="131"/>
      <c r="J26" s="131"/>
      <c r="K26" s="131"/>
      <c r="L26" s="131"/>
      <c r="M26" s="121"/>
      <c r="N26" s="123"/>
      <c r="O26" s="123"/>
    </row>
    <row r="27" customFormat="false" ht="16.5" hidden="false" customHeight="true" outlineLevel="0" collapsed="false">
      <c r="B27" s="122" t="s">
        <v>132</v>
      </c>
      <c r="C27" s="122"/>
      <c r="D27" s="121"/>
      <c r="E27" s="121"/>
      <c r="F27" s="121"/>
      <c r="G27" s="121"/>
      <c r="H27" s="121"/>
      <c r="I27" s="121"/>
      <c r="J27" s="121"/>
      <c r="K27" s="121"/>
      <c r="L27" s="121"/>
      <c r="M27" s="121"/>
      <c r="N27" s="123"/>
      <c r="O27" s="123"/>
    </row>
    <row r="28" customFormat="false" ht="16.5" hidden="false" customHeight="true" outlineLevel="0" collapsed="false">
      <c r="B28" s="50" t="s">
        <v>128</v>
      </c>
      <c r="C28" s="126" t="n">
        <f aca="false">E23*L19</f>
        <v>1922.139</v>
      </c>
      <c r="D28" s="121"/>
      <c r="E28" s="121"/>
      <c r="F28" s="121"/>
      <c r="G28" s="121"/>
      <c r="H28" s="121"/>
      <c r="I28" s="121"/>
      <c r="J28" s="121"/>
      <c r="K28" s="121"/>
      <c r="L28" s="121"/>
      <c r="M28" s="121"/>
      <c r="N28" s="123"/>
      <c r="O28" s="123"/>
    </row>
    <row r="29" customFormat="false" ht="16.5" hidden="false" customHeight="true" outlineLevel="0" collapsed="false">
      <c r="B29" s="50" t="s">
        <v>130</v>
      </c>
      <c r="C29" s="126" t="n">
        <f aca="false">E24*('Base Chapecó'!N21/12)</f>
        <v>354.768541666667</v>
      </c>
      <c r="D29" s="121"/>
      <c r="E29" s="121"/>
      <c r="F29" s="121"/>
      <c r="G29" s="121"/>
      <c r="H29" s="121"/>
      <c r="I29" s="121"/>
      <c r="J29" s="121"/>
      <c r="K29" s="121"/>
      <c r="L29" s="121"/>
      <c r="M29" s="121"/>
      <c r="N29" s="123"/>
      <c r="O29" s="123"/>
    </row>
    <row r="30" customFormat="false" ht="16.5" hidden="false" customHeight="true" outlineLevel="0" collapsed="false">
      <c r="B30" s="133" t="s">
        <v>28</v>
      </c>
      <c r="C30" s="134" t="n">
        <f aca="false">C28+C29</f>
        <v>2276.90754166667</v>
      </c>
      <c r="D30" s="121"/>
      <c r="E30" s="121"/>
      <c r="F30" s="121"/>
      <c r="G30" s="121"/>
      <c r="H30" s="121"/>
      <c r="I30" s="121"/>
      <c r="M30" s="121"/>
      <c r="N30" s="123"/>
      <c r="O30" s="123"/>
    </row>
    <row r="31" customFormat="false" ht="16.5" hidden="false" customHeight="true" outlineLevel="0" collapsed="false">
      <c r="B31" s="121"/>
      <c r="C31" s="135"/>
      <c r="D31" s="121"/>
      <c r="E31" s="121"/>
      <c r="F31" s="121"/>
      <c r="G31" s="121"/>
      <c r="H31" s="121"/>
      <c r="I31" s="121"/>
      <c r="J31" s="121"/>
      <c r="K31" s="121"/>
      <c r="L31" s="121"/>
      <c r="M31" s="121"/>
      <c r="N31" s="123"/>
      <c r="O31" s="123"/>
    </row>
    <row r="32" customFormat="false" ht="16.5" hidden="false" customHeight="true" outlineLevel="0" collapsed="false">
      <c r="B32" s="136" t="s">
        <v>133</v>
      </c>
      <c r="C32" s="136"/>
      <c r="D32" s="121"/>
      <c r="J32" s="121"/>
      <c r="K32" s="121"/>
      <c r="L32" s="121"/>
      <c r="M32" s="121"/>
      <c r="N32" s="123"/>
      <c r="O32" s="123"/>
    </row>
    <row r="33" customFormat="false" ht="16.5" hidden="false" customHeight="true" outlineLevel="0" collapsed="false">
      <c r="B33" s="137" t="s">
        <v>125</v>
      </c>
      <c r="C33" s="138" t="n">
        <f aca="false">SUM(M5:M18)</f>
        <v>0</v>
      </c>
      <c r="J33" s="121"/>
      <c r="K33" s="121"/>
      <c r="L33" s="121"/>
      <c r="M33" s="121"/>
      <c r="N33" s="123"/>
      <c r="O33" s="123"/>
    </row>
    <row r="34" customFormat="false" ht="16.5" hidden="false" customHeight="true" outlineLevel="0" collapsed="false">
      <c r="B34" s="121"/>
      <c r="C34" s="139"/>
      <c r="D34" s="121"/>
      <c r="E34" s="121"/>
      <c r="F34" s="121"/>
      <c r="G34" s="121"/>
      <c r="H34" s="121"/>
      <c r="I34" s="121"/>
      <c r="J34" s="121"/>
      <c r="K34" s="121"/>
      <c r="L34" s="121"/>
      <c r="M34" s="121"/>
      <c r="N34" s="123"/>
      <c r="O34" s="123"/>
    </row>
    <row r="35" customFormat="false" ht="16.5" hidden="false" customHeight="true" outlineLevel="0" collapsed="false">
      <c r="B35" s="140" t="s">
        <v>67</v>
      </c>
      <c r="C35" s="140"/>
      <c r="D35" s="140"/>
      <c r="E35" s="140"/>
      <c r="F35" s="141"/>
      <c r="G35" s="141"/>
    </row>
    <row r="36" customFormat="false" ht="16.5" hidden="false" customHeight="true" outlineLevel="0" collapsed="false">
      <c r="B36" s="142" t="s">
        <v>134</v>
      </c>
      <c r="C36" s="142" t="s">
        <v>123</v>
      </c>
      <c r="D36" s="142" t="s">
        <v>124</v>
      </c>
      <c r="E36" s="142" t="s">
        <v>125</v>
      </c>
      <c r="F36" s="141"/>
      <c r="G36" s="141"/>
    </row>
    <row r="37" customFormat="false" ht="23.3" hidden="false" customHeight="false" outlineLevel="0" collapsed="false">
      <c r="B37" s="108" t="s">
        <v>135</v>
      </c>
      <c r="C37" s="143" t="s">
        <v>136</v>
      </c>
      <c r="D37" s="108" t="s">
        <v>137</v>
      </c>
      <c r="E37" s="129" t="n">
        <v>132.74</v>
      </c>
      <c r="F37" s="141"/>
      <c r="G37" s="144"/>
    </row>
    <row r="38" customFormat="false" ht="16.5" hidden="false" customHeight="true" outlineLevel="0" collapsed="false">
      <c r="B38" s="145" t="s">
        <v>138</v>
      </c>
      <c r="C38" s="145"/>
      <c r="D38" s="145"/>
      <c r="E38" s="145"/>
      <c r="F38" s="141"/>
    </row>
    <row r="1048553" customFormat="false" ht="12.8" hidden="false" customHeight="false" outlineLevel="0" collapsed="false"/>
    <row r="1048554" customFormat="false" ht="12.8" hidden="false" customHeight="false" outlineLevel="0" collapsed="false"/>
    <row r="1048555" customFormat="false" ht="12.8" hidden="false" customHeight="false" outlineLevel="0" collapsed="false"/>
    <row r="1048556" customFormat="false" ht="12.8" hidden="false" customHeight="false" outlineLevel="0" collapsed="false"/>
    <row r="1048557" customFormat="false" ht="12.8" hidden="false" customHeight="false" outlineLevel="0" collapsed="false"/>
    <row r="1048558" customFormat="false" ht="12.8" hidden="false" customHeight="false" outlineLevel="0" collapsed="false"/>
    <row r="1048559" customFormat="false" ht="12.8" hidden="false" customHeight="false" outlineLevel="0" collapsed="false"/>
    <row r="1048560" customFormat="false" ht="12.8" hidden="false" customHeight="false" outlineLevel="0" collapsed="false"/>
    <row r="1048561" customFormat="false" ht="12.8" hidden="false" customHeight="false" outlineLevel="0" collapsed="false"/>
    <row r="1048562" customFormat="false" ht="12.8" hidden="false" customHeight="false" outlineLevel="0" collapsed="false"/>
    <row r="1048563" customFormat="false" ht="12.8" hidden="false" customHeight="false" outlineLevel="0" collapsed="false"/>
    <row r="1048564" customFormat="false" ht="12.8" hidden="false" customHeight="false" outlineLevel="0" collapsed="false"/>
    <row r="1048565" customFormat="false" ht="12.8" hidden="false" customHeight="false" outlineLevel="0" collapsed="false"/>
    <row r="1048566" customFormat="false" ht="12.8" hidden="false" customHeight="false" outlineLevel="0" collapsed="false"/>
    <row r="1048567" customFormat="false" ht="12.8" hidden="false" customHeight="false" outlineLevel="0" collapsed="false"/>
    <row r="1048568" customFormat="false" ht="12.8" hidden="false" customHeight="false" outlineLevel="0" collapsed="false"/>
    <row r="1048569" customFormat="false" ht="12.8" hidden="false" customHeight="false" outlineLevel="0" collapsed="false"/>
    <row r="1048570" customFormat="false" ht="12.8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81">
    <mergeCell ref="B2:Q2"/>
    <mergeCell ref="B5:B6"/>
    <mergeCell ref="D5:D6"/>
    <mergeCell ref="E5:E6"/>
    <mergeCell ref="F5:F6"/>
    <mergeCell ref="G5:G6"/>
    <mergeCell ref="H5:H6"/>
    <mergeCell ref="I5:I6"/>
    <mergeCell ref="J5:J6"/>
    <mergeCell ref="K5:K6"/>
    <mergeCell ref="L5:L6"/>
    <mergeCell ref="M5:M6"/>
    <mergeCell ref="N5:N6"/>
    <mergeCell ref="B7:B8"/>
    <mergeCell ref="D7:D8"/>
    <mergeCell ref="E7:E8"/>
    <mergeCell ref="F7:F8"/>
    <mergeCell ref="G7:G8"/>
    <mergeCell ref="H7:H8"/>
    <mergeCell ref="I7:I8"/>
    <mergeCell ref="J7:J8"/>
    <mergeCell ref="K7:K8"/>
    <mergeCell ref="L7:L8"/>
    <mergeCell ref="M7:M8"/>
    <mergeCell ref="N7:N8"/>
    <mergeCell ref="B9:B10"/>
    <mergeCell ref="D9:D10"/>
    <mergeCell ref="E9:E10"/>
    <mergeCell ref="F9:F10"/>
    <mergeCell ref="G9:G10"/>
    <mergeCell ref="H9:H10"/>
    <mergeCell ref="I9:I10"/>
    <mergeCell ref="J9:J10"/>
    <mergeCell ref="K9:K10"/>
    <mergeCell ref="L9:L10"/>
    <mergeCell ref="M9:M10"/>
    <mergeCell ref="N9:N10"/>
    <mergeCell ref="B11:B12"/>
    <mergeCell ref="D11:D12"/>
    <mergeCell ref="E11:E12"/>
    <mergeCell ref="F11:F12"/>
    <mergeCell ref="G11:G12"/>
    <mergeCell ref="H11:H12"/>
    <mergeCell ref="I11:I12"/>
    <mergeCell ref="J11:J12"/>
    <mergeCell ref="K11:K12"/>
    <mergeCell ref="L11:L12"/>
    <mergeCell ref="M11:M12"/>
    <mergeCell ref="N11:N12"/>
    <mergeCell ref="B13:B14"/>
    <mergeCell ref="D13:D14"/>
    <mergeCell ref="E13:E14"/>
    <mergeCell ref="F13:F14"/>
    <mergeCell ref="G13:G14"/>
    <mergeCell ref="H13:H14"/>
    <mergeCell ref="I13:I14"/>
    <mergeCell ref="J13:J14"/>
    <mergeCell ref="K13:K14"/>
    <mergeCell ref="L13:L14"/>
    <mergeCell ref="M13:M14"/>
    <mergeCell ref="N13:N14"/>
    <mergeCell ref="B15:B16"/>
    <mergeCell ref="D15:D16"/>
    <mergeCell ref="E15:E16"/>
    <mergeCell ref="F15:F16"/>
    <mergeCell ref="G15:G16"/>
    <mergeCell ref="H15:H16"/>
    <mergeCell ref="I15:I16"/>
    <mergeCell ref="J15:J16"/>
    <mergeCell ref="K15:K16"/>
    <mergeCell ref="L15:L16"/>
    <mergeCell ref="M15:M16"/>
    <mergeCell ref="N15:N16"/>
    <mergeCell ref="B19:F19"/>
    <mergeCell ref="H19:J19"/>
    <mergeCell ref="B21:E21"/>
    <mergeCell ref="B25:E25"/>
    <mergeCell ref="B27:C27"/>
    <mergeCell ref="B32:C32"/>
    <mergeCell ref="B35:E35"/>
    <mergeCell ref="B38:E38"/>
  </mergeCells>
  <printOptions headings="false" gridLines="false" gridLinesSet="true" horizontalCentered="true" verticalCentered="true"/>
  <pageMargins left="0.7875" right="0.7875" top="0.196527777777778" bottom="0.196527777777778" header="0.511811023622047" footer="0.511811023622047"/>
  <pageSetup paperSize="9" scale="100" fitToWidth="1" fitToHeight="1" pageOrder="overThenDown" orientation="portrait" blackAndWhite="false" draft="false" cellComments="none" firstPageNumber="1" useFirstPageNumber="true" horizontalDpi="300" verticalDpi="300" copies="1"/>
  <headerFooter differentFirst="false" differentOddEven="false">
    <oddHeader/>
    <odd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99FF66"/>
    <pageSetUpPr fitToPage="false"/>
  </sheetPr>
  <dimension ref="A1:ALX65527"/>
  <sheetViews>
    <sheetView showFormulas="false" showGridLines="false" showRowColHeaders="true" showZeros="true" rightToLeft="false" tabSelected="false" showOutlineSymbols="true" defaultGridColor="true" view="normal" topLeftCell="B4" colorId="64" zoomScale="90" zoomScaleNormal="90" zoomScalePageLayoutView="100" workbookViewId="0">
      <selection pane="topLeft" activeCell="V7" activeCellId="0" sqref="V7"/>
    </sheetView>
  </sheetViews>
  <sheetFormatPr defaultColWidth="8.41015625" defaultRowHeight="14.25" zeroHeight="false" outlineLevelRow="0" outlineLevelCol="0"/>
  <cols>
    <col collapsed="false" customWidth="true" hidden="false" outlineLevel="0" max="1" min="1" style="1" width="5.62"/>
    <col collapsed="false" customWidth="true" hidden="false" outlineLevel="0" max="2" min="2" style="16" width="33.62"/>
    <col collapsed="false" customWidth="true" hidden="false" outlineLevel="0" max="15" min="3" style="16" width="12.62"/>
    <col collapsed="false" customWidth="true" hidden="false" outlineLevel="0" max="16" min="16" style="16" width="9.62"/>
    <col collapsed="false" customWidth="true" hidden="false" outlineLevel="0" max="17" min="17" style="16" width="30.26"/>
    <col collapsed="false" customWidth="true" hidden="false" outlineLevel="0" max="33" min="18" style="16" width="11.5"/>
    <col collapsed="false" customWidth="true" hidden="false" outlineLevel="0" max="34" min="34" style="16" width="11"/>
    <col collapsed="false" customWidth="true" hidden="false" outlineLevel="0" max="35" min="35" style="16" width="30.62"/>
    <col collapsed="false" customWidth="true" hidden="false" outlineLevel="0" max="40" min="36" style="16" width="10.75"/>
    <col collapsed="false" customWidth="true" hidden="false" outlineLevel="0" max="43" min="41" style="16" width="12.5"/>
    <col collapsed="false" customWidth="true" hidden="false" outlineLevel="0" max="44" min="44" style="16" width="2.62"/>
    <col collapsed="false" customWidth="true" hidden="false" outlineLevel="0" max="45" min="45" style="16" width="28.12"/>
    <col collapsed="false" customWidth="true" hidden="false" outlineLevel="0" max="46" min="46" style="16" width="12.76"/>
    <col collapsed="false" customWidth="true" hidden="false" outlineLevel="0" max="49" min="47" style="16" width="11.75"/>
    <col collapsed="false" customWidth="true" hidden="false" outlineLevel="0" max="66" min="50" style="16" width="10.75"/>
    <col collapsed="false" customWidth="true" hidden="false" outlineLevel="0" max="256" min="67" style="2" width="10.75"/>
    <col collapsed="false" customWidth="true" hidden="false" outlineLevel="0" max="1012" min="257" style="1" width="10.62"/>
  </cols>
  <sheetData>
    <row r="1" customFormat="false" ht="15" hidden="false" customHeight="true" outlineLevel="0" collapsed="false"/>
    <row r="2" s="53" customFormat="true" ht="24.75" hidden="false" customHeight="true" outlineLevel="0" collapsed="false">
      <c r="B2" s="54" t="str">
        <f aca="false">"BASE "&amp;Resumo!B6&amp;" - PLANILHA DE FORMAÇÃO DE PREÇOS"</f>
        <v>BASE PATO BRANCO - PLANILHA DE FORMAÇÃO DE PREÇOS</v>
      </c>
      <c r="C2" s="54"/>
      <c r="D2" s="54"/>
      <c r="E2" s="54"/>
      <c r="F2" s="54"/>
      <c r="G2" s="54"/>
      <c r="H2" s="54"/>
      <c r="I2" s="54"/>
      <c r="J2" s="54"/>
      <c r="K2" s="54"/>
      <c r="L2" s="54"/>
      <c r="M2" s="54"/>
      <c r="N2" s="54"/>
      <c r="O2" s="54"/>
      <c r="P2" s="55"/>
      <c r="Q2" s="44" t="str">
        <f aca="false">"BASE "&amp;Resumo!B6&amp;" – PLANILHA DE DISTRIBUIÇÃO DE CUSTOS POR UNIDADE"</f>
        <v>BASE PATO BRANCO – PLANILHA DE DISTRIBUIÇÃO DE CUSTOS POR UNIDADE</v>
      </c>
      <c r="R2" s="44"/>
      <c r="S2" s="44"/>
      <c r="T2" s="44"/>
      <c r="U2" s="44"/>
      <c r="V2" s="44"/>
      <c r="W2" s="44"/>
      <c r="X2" s="44"/>
      <c r="Y2" s="44"/>
      <c r="Z2" s="44"/>
      <c r="AA2" s="44"/>
      <c r="AB2" s="44"/>
      <c r="AC2" s="44"/>
      <c r="AD2" s="44"/>
      <c r="AE2" s="44"/>
      <c r="AF2" s="44"/>
      <c r="AG2" s="44"/>
      <c r="AH2" s="45"/>
      <c r="AI2" s="57" t="str">
        <f aca="false">"BASE "&amp;Resumo!B6&amp;" – PLANILHA RESUMO DE CUSTOS DA BASE"</f>
        <v>BASE PATO BRANCO – PLANILHA RESUMO DE CUSTOS DA BASE</v>
      </c>
      <c r="AJ2" s="57"/>
      <c r="AK2" s="57"/>
      <c r="AL2" s="57"/>
      <c r="AM2" s="57"/>
      <c r="AN2" s="57"/>
      <c r="AO2" s="57"/>
      <c r="AP2" s="57"/>
      <c r="AQ2" s="57"/>
      <c r="AR2" s="57"/>
      <c r="AS2" s="57"/>
      <c r="AT2" s="57"/>
      <c r="AU2" s="57"/>
      <c r="AV2" s="57"/>
      <c r="AW2" s="57"/>
    </row>
    <row r="3" customFormat="false" ht="15" hidden="false" customHeight="true" outlineLevel="0" collapsed="false">
      <c r="B3" s="53"/>
      <c r="C3" s="55"/>
      <c r="D3" s="55"/>
      <c r="E3" s="55"/>
      <c r="F3" s="55"/>
      <c r="G3" s="55"/>
      <c r="H3" s="55"/>
      <c r="I3" s="55"/>
      <c r="J3" s="55"/>
      <c r="K3" s="55"/>
      <c r="L3" s="55"/>
      <c r="M3" s="55"/>
      <c r="N3" s="55"/>
      <c r="O3" s="55"/>
      <c r="P3" s="55"/>
      <c r="Q3" s="55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</row>
    <row r="4" customFormat="false" ht="19.5" hidden="false" customHeight="true" outlineLevel="0" collapsed="false">
      <c r="B4" s="47" t="s">
        <v>41</v>
      </c>
      <c r="C4" s="47" t="s">
        <v>42</v>
      </c>
      <c r="D4" s="47"/>
      <c r="E4" s="47"/>
      <c r="F4" s="47"/>
      <c r="G4" s="47"/>
      <c r="H4" s="47" t="s">
        <v>43</v>
      </c>
      <c r="I4" s="47"/>
      <c r="J4" s="47"/>
      <c r="K4" s="47"/>
      <c r="L4" s="47"/>
      <c r="M4" s="47"/>
      <c r="N4" s="47"/>
      <c r="O4" s="47" t="s">
        <v>28</v>
      </c>
      <c r="P4" s="55"/>
      <c r="Q4" s="47" t="s">
        <v>44</v>
      </c>
      <c r="R4" s="58" t="s">
        <v>45</v>
      </c>
      <c r="S4" s="58"/>
      <c r="T4" s="58"/>
      <c r="U4" s="58"/>
      <c r="V4" s="58" t="s">
        <v>46</v>
      </c>
      <c r="W4" s="58"/>
      <c r="X4" s="58"/>
      <c r="Y4" s="58"/>
      <c r="Z4" s="58" t="s">
        <v>47</v>
      </c>
      <c r="AA4" s="58"/>
      <c r="AB4" s="58"/>
      <c r="AC4" s="58"/>
      <c r="AD4" s="58" t="s">
        <v>48</v>
      </c>
      <c r="AE4" s="58"/>
      <c r="AF4" s="58"/>
      <c r="AG4" s="58"/>
      <c r="AH4" s="56"/>
      <c r="AI4" s="47" t="s">
        <v>44</v>
      </c>
      <c r="AJ4" s="59" t="s">
        <v>49</v>
      </c>
      <c r="AK4" s="59"/>
      <c r="AL4" s="59"/>
      <c r="AM4" s="59"/>
      <c r="AN4" s="59"/>
      <c r="AO4" s="59" t="s">
        <v>50</v>
      </c>
      <c r="AP4" s="59"/>
      <c r="AQ4" s="59"/>
      <c r="AR4" s="60"/>
      <c r="AS4" s="59" t="str">
        <f aca="false">"Resumo de Custos da Base "&amp;Resumo!B6</f>
        <v>Resumo de Custos da Base PATO BRANCO</v>
      </c>
      <c r="AT4" s="59"/>
      <c r="AU4" s="59"/>
      <c r="AV4" s="59"/>
      <c r="AW4" s="59"/>
    </row>
    <row r="5" customFormat="false" ht="39.75" hidden="false" customHeight="true" outlineLevel="0" collapsed="false">
      <c r="B5" s="47"/>
      <c r="C5" s="47" t="s">
        <v>28</v>
      </c>
      <c r="D5" s="47" t="s">
        <v>51</v>
      </c>
      <c r="E5" s="47" t="s">
        <v>52</v>
      </c>
      <c r="F5" s="47" t="s">
        <v>53</v>
      </c>
      <c r="G5" s="47" t="s">
        <v>54</v>
      </c>
      <c r="H5" s="47" t="s">
        <v>55</v>
      </c>
      <c r="I5" s="47" t="s">
        <v>56</v>
      </c>
      <c r="J5" s="47" t="s">
        <v>57</v>
      </c>
      <c r="K5" s="47" t="s">
        <v>58</v>
      </c>
      <c r="L5" s="47" t="s">
        <v>59</v>
      </c>
      <c r="M5" s="47" t="s">
        <v>60</v>
      </c>
      <c r="N5" s="47" t="s">
        <v>61</v>
      </c>
      <c r="O5" s="47"/>
      <c r="P5" s="55"/>
      <c r="Q5" s="47"/>
      <c r="R5" s="47" t="s">
        <v>62</v>
      </c>
      <c r="S5" s="47" t="s">
        <v>63</v>
      </c>
      <c r="T5" s="47" t="s">
        <v>64</v>
      </c>
      <c r="U5" s="47" t="s">
        <v>65</v>
      </c>
      <c r="V5" s="47" t="s">
        <v>66</v>
      </c>
      <c r="W5" s="47" t="s">
        <v>67</v>
      </c>
      <c r="X5" s="47" t="s">
        <v>68</v>
      </c>
      <c r="Y5" s="47" t="s">
        <v>69</v>
      </c>
      <c r="Z5" s="47" t="s">
        <v>70</v>
      </c>
      <c r="AA5" s="47"/>
      <c r="AB5" s="47"/>
      <c r="AC5" s="47" t="n">
        <f aca="false">N17+'Base Chapecó'!N21</f>
        <v>960.15</v>
      </c>
      <c r="AD5" s="58" t="s">
        <v>62</v>
      </c>
      <c r="AE5" s="58" t="s">
        <v>63</v>
      </c>
      <c r="AF5" s="58" t="s">
        <v>64</v>
      </c>
      <c r="AG5" s="58" t="s">
        <v>65</v>
      </c>
      <c r="AH5" s="43"/>
      <c r="AI5" s="47"/>
      <c r="AJ5" s="58" t="s">
        <v>71</v>
      </c>
      <c r="AK5" s="58" t="s">
        <v>62</v>
      </c>
      <c r="AL5" s="58" t="s">
        <v>63</v>
      </c>
      <c r="AM5" s="58" t="s">
        <v>64</v>
      </c>
      <c r="AN5" s="58" t="s">
        <v>65</v>
      </c>
      <c r="AO5" s="58" t="s">
        <v>72</v>
      </c>
      <c r="AP5" s="58" t="s">
        <v>73</v>
      </c>
      <c r="AQ5" s="58" t="s">
        <v>74</v>
      </c>
      <c r="AR5" s="56"/>
      <c r="AS5" s="58" t="s">
        <v>75</v>
      </c>
      <c r="AT5" s="58" t="s">
        <v>62</v>
      </c>
      <c r="AU5" s="58" t="s">
        <v>63</v>
      </c>
      <c r="AV5" s="58" t="s">
        <v>64</v>
      </c>
      <c r="AW5" s="58" t="s">
        <v>65</v>
      </c>
    </row>
    <row r="6" customFormat="false" ht="19.5" hidden="false" customHeight="true" outlineLevel="0" collapsed="false">
      <c r="B6" s="47"/>
      <c r="C6" s="61" t="s">
        <v>76</v>
      </c>
      <c r="D6" s="61" t="n">
        <v>1</v>
      </c>
      <c r="E6" s="61" t="n">
        <v>0.35</v>
      </c>
      <c r="F6" s="61" t="n">
        <v>0.1</v>
      </c>
      <c r="G6" s="47"/>
      <c r="H6" s="61" t="n">
        <v>1</v>
      </c>
      <c r="I6" s="61" t="n">
        <v>1.2</v>
      </c>
      <c r="J6" s="61" t="n">
        <v>2</v>
      </c>
      <c r="K6" s="61" t="n">
        <v>4</v>
      </c>
      <c r="L6" s="61" t="n">
        <v>1.1</v>
      </c>
      <c r="M6" s="61" t="n">
        <v>1.1</v>
      </c>
      <c r="N6" s="47"/>
      <c r="O6" s="47"/>
      <c r="P6" s="62"/>
      <c r="Q6" s="47"/>
      <c r="R6" s="61" t="s">
        <v>77</v>
      </c>
      <c r="S6" s="61" t="s">
        <v>78</v>
      </c>
      <c r="T6" s="61" t="s">
        <v>79</v>
      </c>
      <c r="U6" s="61" t="s">
        <v>80</v>
      </c>
      <c r="V6" s="47"/>
      <c r="W6" s="47"/>
      <c r="X6" s="47"/>
      <c r="Y6" s="47"/>
      <c r="Z6" s="35" t="s">
        <v>62</v>
      </c>
      <c r="AA6" s="35" t="s">
        <v>63</v>
      </c>
      <c r="AB6" s="35" t="s">
        <v>64</v>
      </c>
      <c r="AC6" s="35" t="s">
        <v>65</v>
      </c>
      <c r="AD6" s="58"/>
      <c r="AE6" s="58"/>
      <c r="AF6" s="58"/>
      <c r="AG6" s="58"/>
      <c r="AH6" s="56"/>
      <c r="AI6" s="47"/>
      <c r="AJ6" s="58"/>
      <c r="AK6" s="58"/>
      <c r="AL6" s="58"/>
      <c r="AM6" s="58"/>
      <c r="AN6" s="58"/>
      <c r="AO6" s="58"/>
      <c r="AP6" s="58"/>
      <c r="AQ6" s="58"/>
      <c r="AR6" s="63"/>
      <c r="AS6" s="58"/>
      <c r="AT6" s="35" t="s">
        <v>77</v>
      </c>
      <c r="AU6" s="35" t="s">
        <v>78</v>
      </c>
      <c r="AV6" s="35" t="s">
        <v>79</v>
      </c>
      <c r="AW6" s="35" t="s">
        <v>80</v>
      </c>
    </row>
    <row r="7" customFormat="false" ht="15" hidden="false" customHeight="true" outlineLevel="0" collapsed="false">
      <c r="B7" s="22" t="s">
        <v>139</v>
      </c>
      <c r="C7" s="64" t="n">
        <f aca="false">VLOOKUP($B7,Unidades!$D$5:$N$28,6,FALSE())</f>
        <v>334.4</v>
      </c>
      <c r="D7" s="64" t="n">
        <f aca="false">VLOOKUP($B7,Unidades!$D$5:$N$28,7,FALSE())</f>
        <v>296</v>
      </c>
      <c r="E7" s="64" t="n">
        <f aca="false">VLOOKUP($B7,Unidades!$D$5:$N$28,8,FALSE())</f>
        <v>38.4</v>
      </c>
      <c r="F7" s="64" t="n">
        <f aca="false">VLOOKUP($B7,Unidades!$D$5:$N$28,9,FALSE())</f>
        <v>0</v>
      </c>
      <c r="G7" s="64" t="n">
        <f aca="false">D7+$E$6*E7+$F$6*F7</f>
        <v>309.44</v>
      </c>
      <c r="H7" s="65" t="n">
        <f aca="false">IF(G7&lt;750,1.5,IF(G7&lt;2000,2,3))</f>
        <v>1.5</v>
      </c>
      <c r="I7" s="65" t="n">
        <f aca="false">$I$6*H7</f>
        <v>1.8</v>
      </c>
      <c r="J7" s="65" t="str">
        <f aca="false">VLOOKUP($B7,Unidades!$D$5:$N$28,10,FALSE())</f>
        <v>NÃO</v>
      </c>
      <c r="K7" s="65" t="str">
        <f aca="false">VLOOKUP($B7,Unidades!$D$5:$N$28,11,FALSE())</f>
        <v>NÃO</v>
      </c>
      <c r="L7" s="65" t="n">
        <f aca="false">$L$6*H7+(IF(J7="SIM",$J$6,0))</f>
        <v>1.65</v>
      </c>
      <c r="M7" s="65" t="n">
        <f aca="false">$M$6*H7+(IF(J7="SIM",$J$6,0))+(IF(K7="SIM",$K$6,0))</f>
        <v>1.65</v>
      </c>
      <c r="N7" s="65" t="n">
        <f aca="false">H7*12+I7*4+L7*2+M7</f>
        <v>30.15</v>
      </c>
      <c r="O7" s="66" t="n">
        <f aca="false">IF(K7="não", N7*(C$20+D$20),N7*(C$20+D$20)+(M7*+E$20))</f>
        <v>1873.2195</v>
      </c>
      <c r="P7" s="67"/>
      <c r="Q7" s="22" t="str">
        <f aca="false">B7</f>
        <v>APS CORONEL VIVIDA</v>
      </c>
      <c r="R7" s="24" t="n">
        <f aca="false">H7*($C$20+$D$20)</f>
        <v>93.195</v>
      </c>
      <c r="S7" s="24" t="n">
        <f aca="false">I7*($C$20+$D$20)</f>
        <v>111.834</v>
      </c>
      <c r="T7" s="24" t="n">
        <f aca="false">L7*($C$20+$D$20)</f>
        <v>102.5145</v>
      </c>
      <c r="U7" s="24" t="n">
        <f aca="false">IF(K7="não",M7*($C$20+$D$20),M7*(C$20+D$20+E$20))</f>
        <v>102.5145</v>
      </c>
      <c r="V7" s="24" t="n">
        <f aca="false">VLOOKUP(Q7,'Desl. Base Pato Branco'!$C$5:$S$14,13,FALSE())*($C$20+$D$20+$E$20*(VLOOKUP(Q7,'Desl. Base Pato Branco'!$C$5:$S$14,17,FALSE())/12))</f>
        <v>73.5205</v>
      </c>
      <c r="W7" s="24" t="n">
        <f aca="false">VLOOKUP(Q7,'Desl. Base Pato Branco'!$C$5:$S$14,15,FALSE())*(2+(VLOOKUP(Q7,'Desl. Base Pato Branco'!$C$5:$S$14,17,FALSE())/12))</f>
        <v>0</v>
      </c>
      <c r="X7" s="24" t="n">
        <f aca="false">VLOOKUP(Q7,'Desl. Base Pato Branco'!$C$5:$Q$14,14,FALSE())</f>
        <v>0</v>
      </c>
      <c r="Y7" s="24" t="n">
        <f aca="false">VLOOKUP(Q7,'Desl. Base Pato Branco'!$C$5:Q$14,13,FALSE())*'Desl. Base Pato Branco'!$E$19+'Desl. Base Pato Branco'!$E$20*N7/12</f>
        <v>79.8117083333333</v>
      </c>
      <c r="Z7" s="24" t="n">
        <f aca="false">(H7/$AC$5)*'Equipe Técnica'!$C$13</f>
        <v>276.428370567099</v>
      </c>
      <c r="AA7" s="24" t="n">
        <f aca="false">(I7/$AC$5)*'Equipe Técnica'!$C$13</f>
        <v>331.714044680519</v>
      </c>
      <c r="AB7" s="24" t="n">
        <f aca="false">(L7/$AC$5)*'Equipe Técnica'!$C$13</f>
        <v>304.071207623809</v>
      </c>
      <c r="AC7" s="24" t="n">
        <f aca="false">(M7/$AC$5)*'Equipe Técnica'!$C$13</f>
        <v>304.071207623809</v>
      </c>
      <c r="AD7" s="24" t="n">
        <f aca="false">R7+(($V7+$W7+$X7+$Y7)*12/19)+$Z7</f>
        <v>466.464765303941</v>
      </c>
      <c r="AE7" s="24" t="n">
        <f aca="false">S7+(($V7+$W7+$X7+$Y7)*12/19)+$AA7</f>
        <v>540.389439417361</v>
      </c>
      <c r="AF7" s="24" t="n">
        <f aca="false">T7+(($V7+$W7+$X7+$Y7)*12/19)+$AB7</f>
        <v>503.427102360651</v>
      </c>
      <c r="AG7" s="24" t="n">
        <f aca="false">U7+(($V7+$W7+$X7+$Y7)*12/19)+$AC7</f>
        <v>503.427102360651</v>
      </c>
      <c r="AH7" s="146"/>
      <c r="AI7" s="22" t="str">
        <f aca="false">B7</f>
        <v>APS CORONEL VIVIDA</v>
      </c>
      <c r="AJ7" s="68" t="n">
        <f aca="false">VLOOKUP(AI7,Unidades!D$5:H$28,5,)</f>
        <v>0.2624</v>
      </c>
      <c r="AK7" s="48" t="n">
        <f aca="false">AD7*(1+$AJ7)</f>
        <v>588.865119719695</v>
      </c>
      <c r="AL7" s="48" t="n">
        <f aca="false">AE7*(1+$AJ7)</f>
        <v>682.187628320476</v>
      </c>
      <c r="AM7" s="48" t="n">
        <f aca="false">AF7*(1+$AJ7)</f>
        <v>635.526374020086</v>
      </c>
      <c r="AN7" s="48" t="n">
        <f aca="false">AG7*(1+$AJ7)</f>
        <v>635.526374020086</v>
      </c>
      <c r="AO7" s="48" t="n">
        <f aca="false">((AK7*12)+(AL7*4)+(AM7*2)+AN7)/12</f>
        <v>975.142589331542</v>
      </c>
      <c r="AP7" s="48" t="n">
        <f aca="false">AO7*3</f>
        <v>2925.42776799463</v>
      </c>
      <c r="AQ7" s="48" t="n">
        <f aca="false">AO7+AP7</f>
        <v>3900.57035732617</v>
      </c>
      <c r="AR7" s="69"/>
      <c r="AS7" s="70" t="s">
        <v>82</v>
      </c>
      <c r="AT7" s="48" t="n">
        <f aca="false">AK17</f>
        <v>6566.01730538882</v>
      </c>
      <c r="AU7" s="48" t="n">
        <f aca="false">AL17</f>
        <v>7542.5647145829</v>
      </c>
      <c r="AV7" s="48" t="n">
        <f aca="false">AM17</f>
        <v>8881.21612290884</v>
      </c>
      <c r="AW7" s="48" t="n">
        <f aca="false">AN17</f>
        <v>12140.0547956704</v>
      </c>
    </row>
    <row r="8" customFormat="false" ht="15" hidden="false" customHeight="true" outlineLevel="0" collapsed="false">
      <c r="B8" s="22" t="s">
        <v>140</v>
      </c>
      <c r="C8" s="64" t="n">
        <f aca="false">VLOOKUP($B8,Unidades!$D$5:$N$28,6,FALSE())</f>
        <v>170</v>
      </c>
      <c r="D8" s="64" t="n">
        <f aca="false">VLOOKUP($B8,Unidades!$D$5:$N$28,7,FALSE())</f>
        <v>144.38</v>
      </c>
      <c r="E8" s="64" t="n">
        <f aca="false">VLOOKUP($B8,Unidades!$D$5:$N$28,8,FALSE())</f>
        <v>25.62</v>
      </c>
      <c r="F8" s="64" t="n">
        <f aca="false">VLOOKUP($B8,Unidades!$D$5:$N$28,9,FALSE())</f>
        <v>0</v>
      </c>
      <c r="G8" s="64" t="n">
        <f aca="false">D8+$E$6*E8+$F$6*F8</f>
        <v>153.347</v>
      </c>
      <c r="H8" s="65" t="n">
        <f aca="false">IF(G8&lt;750,1.5,IF(G8&lt;2000,2,3))</f>
        <v>1.5</v>
      </c>
      <c r="I8" s="65" t="n">
        <f aca="false">$I$6*H8</f>
        <v>1.8</v>
      </c>
      <c r="J8" s="65" t="str">
        <f aca="false">VLOOKUP($B8,Unidades!$D$5:$N$28,10,FALSE())</f>
        <v>NÃO</v>
      </c>
      <c r="K8" s="65" t="str">
        <f aca="false">VLOOKUP($B8,Unidades!$D$5:$N$28,11,FALSE())</f>
        <v>NÃO</v>
      </c>
      <c r="L8" s="65" t="n">
        <f aca="false">$L$6*H8+(IF(J8="SIM",$J$6,0))</f>
        <v>1.65</v>
      </c>
      <c r="M8" s="65" t="n">
        <f aca="false">$M$6*H8+(IF(J8="SIM",$J$6,0))+(IF(K8="SIM",$K$6,0))</f>
        <v>1.65</v>
      </c>
      <c r="N8" s="65" t="n">
        <f aca="false">H8*12+I8*4+L8*2+M8</f>
        <v>30.15</v>
      </c>
      <c r="O8" s="66" t="n">
        <f aca="false">IF(K8="não", N8*(C$20+D$20),N8*(C$20+D$20)+(M8*+E$20))</f>
        <v>1873.2195</v>
      </c>
      <c r="P8" s="67"/>
      <c r="Q8" s="22" t="str">
        <f aca="false">B8</f>
        <v>APS DOIS VIZINHOS</v>
      </c>
      <c r="R8" s="24" t="n">
        <f aca="false">H8*($C$20+$D$20)</f>
        <v>93.195</v>
      </c>
      <c r="S8" s="24" t="n">
        <f aca="false">I8*($C$20+$D$20)</f>
        <v>111.834</v>
      </c>
      <c r="T8" s="24" t="n">
        <f aca="false">L8*($C$20+$D$20)</f>
        <v>102.5145</v>
      </c>
      <c r="U8" s="24" t="n">
        <f aca="false">IF(K8="não",M8*($C$20+$D$20),M8*(C$20+D$20+E$20))</f>
        <v>102.5145</v>
      </c>
      <c r="V8" s="24" t="n">
        <f aca="false">VLOOKUP(Q8,'Desl. Base Pato Branco'!$C$5:$S$14,13,FALSE())*($C$20+$D$20+$E$20*(VLOOKUP(Q8,'Desl. Base Pato Branco'!$C$5:$S$14,17,FALSE())/12))</f>
        <v>127.88425</v>
      </c>
      <c r="W8" s="24" t="n">
        <f aca="false">VLOOKUP(Q8,'Desl. Base Pato Branco'!$C$5:$S$14,15,FALSE())*(2+(VLOOKUP(Q8,'Desl. Base Pato Branco'!$C$5:$S$14,17,FALSE())/12))</f>
        <v>0</v>
      </c>
      <c r="X8" s="24" t="n">
        <f aca="false">VLOOKUP(Q8,'Desl. Base Pato Branco'!$C$5:$Q$14,14,FALSE())</f>
        <v>0</v>
      </c>
      <c r="Y8" s="24" t="n">
        <f aca="false">VLOOKUP(Q8,'Desl. Base Pato Branco'!$C$5:Q$14,13,FALSE())*'Desl. Base Pato Branco'!$E$19+'Desl. Base Pato Branco'!$E$20*N8/12</f>
        <v>125.915458333333</v>
      </c>
      <c r="Z8" s="24" t="n">
        <f aca="false">(H8/$AC$5)*'Equipe Técnica'!$C$13</f>
        <v>276.428370567099</v>
      </c>
      <c r="AA8" s="24" t="n">
        <f aca="false">(I8/$AC$5)*'Equipe Técnica'!$C$13</f>
        <v>331.714044680519</v>
      </c>
      <c r="AB8" s="24" t="n">
        <f aca="false">(L8/$AC$5)*'Equipe Técnica'!$C$13</f>
        <v>304.071207623809</v>
      </c>
      <c r="AC8" s="24" t="n">
        <f aca="false">(M8/$AC$5)*'Equipe Técnica'!$C$13</f>
        <v>304.071207623809</v>
      </c>
      <c r="AD8" s="24" t="n">
        <f aca="false">R8+(($V8+$W8+$X8+$Y8)*12/19)+$Z8</f>
        <v>529.917923198678</v>
      </c>
      <c r="AE8" s="24" t="n">
        <f aca="false">S8+(($V8+$W8+$X8+$Y8)*12/19)+$AA8</f>
        <v>603.842597312097</v>
      </c>
      <c r="AF8" s="24" t="n">
        <f aca="false">T8+(($V8+$W8+$X8+$Y8)*12/19)+$AB8</f>
        <v>566.880260255388</v>
      </c>
      <c r="AG8" s="24" t="n">
        <f aca="false">U8+(($V8+$W8+$X8+$Y8)*12/19)+$AC8</f>
        <v>566.880260255388</v>
      </c>
      <c r="AH8" s="146"/>
      <c r="AI8" s="22" t="str">
        <f aca="false">B8</f>
        <v>APS DOIS VIZINHOS</v>
      </c>
      <c r="AJ8" s="68" t="n">
        <f aca="false">VLOOKUP(AI8,Unidades!D$5:H$28,5,)</f>
        <v>0.2354</v>
      </c>
      <c r="AK8" s="48" t="n">
        <f aca="false">AD8*(1+$AJ8)</f>
        <v>654.660602319646</v>
      </c>
      <c r="AL8" s="48" t="n">
        <f aca="false">AE8*(1+$AJ8)</f>
        <v>745.987144719365</v>
      </c>
      <c r="AM8" s="48" t="n">
        <f aca="false">AF8*(1+$AJ8)</f>
        <v>700.323873519506</v>
      </c>
      <c r="AN8" s="48" t="n">
        <f aca="false">AG8*(1+$AJ8)</f>
        <v>700.323873519506</v>
      </c>
      <c r="AO8" s="48" t="n">
        <f aca="false">((AK8*12)+(AL8*4)+(AM8*2)+AN8)/12</f>
        <v>1078.40395227264</v>
      </c>
      <c r="AP8" s="48" t="n">
        <f aca="false">AO8*3</f>
        <v>3235.21185681793</v>
      </c>
      <c r="AQ8" s="48" t="n">
        <f aca="false">AO8+AP8</f>
        <v>4313.61580909058</v>
      </c>
      <c r="AR8" s="69"/>
      <c r="AS8" s="70" t="s">
        <v>84</v>
      </c>
      <c r="AT8" s="48" t="n">
        <f aca="false">AT7*12</f>
        <v>78792.2076646658</v>
      </c>
      <c r="AU8" s="48" t="n">
        <f aca="false">AU7*4</f>
        <v>30170.2588583316</v>
      </c>
      <c r="AV8" s="48" t="n">
        <f aca="false">AV7*2</f>
        <v>17762.4322458177</v>
      </c>
      <c r="AW8" s="48" t="n">
        <f aca="false">AW7</f>
        <v>12140.0547956704</v>
      </c>
    </row>
    <row r="9" customFormat="false" ht="15" hidden="false" customHeight="true" outlineLevel="0" collapsed="false">
      <c r="B9" s="22" t="s">
        <v>141</v>
      </c>
      <c r="C9" s="64" t="n">
        <f aca="false">VLOOKUP($B9,Unidades!$D$5:$N$28,6,FALSE())</f>
        <v>2008</v>
      </c>
      <c r="D9" s="64" t="n">
        <f aca="false">VLOOKUP($B9,Unidades!$D$5:$N$28,7,FALSE())</f>
        <v>1336.84</v>
      </c>
      <c r="E9" s="64" t="n">
        <f aca="false">VLOOKUP($B9,Unidades!$D$5:$N$28,8,FALSE())</f>
        <v>589.62</v>
      </c>
      <c r="F9" s="64" t="n">
        <f aca="false">VLOOKUP($B9,Unidades!$D$5:$N$28,9,FALSE())</f>
        <v>81.54</v>
      </c>
      <c r="G9" s="64" t="n">
        <f aca="false">D9+$E$6*E9+$F$6*F9</f>
        <v>1551.361</v>
      </c>
      <c r="H9" s="65" t="n">
        <f aca="false">IF(G9&lt;750,1.5,IF(G9&lt;2000,2,3))</f>
        <v>2</v>
      </c>
      <c r="I9" s="65" t="n">
        <f aca="false">$I$6*H9</f>
        <v>2.4</v>
      </c>
      <c r="J9" s="65" t="str">
        <f aca="false">VLOOKUP($B9,Unidades!$D$5:$N$28,10,FALSE())</f>
        <v>SIM</v>
      </c>
      <c r="K9" s="65" t="str">
        <f aca="false">VLOOKUP($B9,Unidades!$D$5:$N$28,11,FALSE())</f>
        <v>SIM</v>
      </c>
      <c r="L9" s="65" t="n">
        <f aca="false">$L$6*H9+(IF(J9="SIM",$J$6,0))</f>
        <v>4.2</v>
      </c>
      <c r="M9" s="65" t="n">
        <f aca="false">$M$6*H9+(IF(J9="SIM",$J$6,0))+(IF(K9="SIM",$K$6,0))</f>
        <v>8.2</v>
      </c>
      <c r="N9" s="65" t="n">
        <f aca="false">H9*12+I9*4+L9*2+M9</f>
        <v>50.2</v>
      </c>
      <c r="O9" s="66" t="n">
        <f aca="false">IF(K9="não", N9*(C$20+D$20),N9*(C$20+D$20)+(M9*+E$20))</f>
        <v>3455.946</v>
      </c>
      <c r="P9" s="67"/>
      <c r="Q9" s="22" t="str">
        <f aca="false">B9</f>
        <v>APS FRANCISCO BELTRÃO</v>
      </c>
      <c r="R9" s="24" t="n">
        <f aca="false">H9*($C$20+$D$20)</f>
        <v>124.26</v>
      </c>
      <c r="S9" s="24" t="n">
        <f aca="false">I9*($C$20+$D$20)</f>
        <v>149.112</v>
      </c>
      <c r="T9" s="24" t="n">
        <f aca="false">L9*($C$20+$D$20)</f>
        <v>260.946</v>
      </c>
      <c r="U9" s="24" t="n">
        <f aca="false">IF(K9="não",M9*($C$20+$D$20),M9*(C$20+D$20+E$20))</f>
        <v>846.486</v>
      </c>
      <c r="V9" s="24" t="n">
        <f aca="false">VLOOKUP(Q9,'Desl. Base Pato Branco'!$C$5:$S$14,13,FALSE())*($C$20+$D$20+$E$20*(VLOOKUP(Q9,'Desl. Base Pato Branco'!$C$5:$S$14,17,FALSE())/12))</f>
        <v>127.83225</v>
      </c>
      <c r="W9" s="24" t="n">
        <f aca="false">VLOOKUP(Q9,'Desl. Base Pato Branco'!$C$5:$S$14,15,FALSE())*(2+(VLOOKUP(Q9,'Desl. Base Pato Branco'!$C$5:$S$14,17,FALSE())/12))</f>
        <v>0</v>
      </c>
      <c r="X9" s="24" t="n">
        <f aca="false">VLOOKUP(Q9,'Desl. Base Pato Branco'!$C$5:$Q$14,14,FALSE())</f>
        <v>0</v>
      </c>
      <c r="Y9" s="24" t="n">
        <f aca="false">VLOOKUP(Q9,'Desl. Base Pato Branco'!$C$5:Q$14,13,FALSE())*'Desl. Base Pato Branco'!$E$19+'Desl. Base Pato Branco'!$E$20*N9/12</f>
        <v>131.819666666667</v>
      </c>
      <c r="Z9" s="24" t="n">
        <f aca="false">(H9/$AC$5)*'Equipe Técnica'!$C$13</f>
        <v>368.571160756132</v>
      </c>
      <c r="AA9" s="24" t="n">
        <f aca="false">(I9/$AC$5)*'Equipe Técnica'!$C$13</f>
        <v>442.285392907358</v>
      </c>
      <c r="AB9" s="24" t="n">
        <f aca="false">(L9/$AC$5)*'Equipe Técnica'!$C$13</f>
        <v>773.999437587877</v>
      </c>
      <c r="AC9" s="24" t="n">
        <f aca="false">(M9/$AC$5)*'Equipe Técnica'!$C$13</f>
        <v>1511.14175910014</v>
      </c>
      <c r="AD9" s="24" t="n">
        <f aca="false">R9+(($V9+$W9+$X9+$Y9)*12/19)+$Z9</f>
        <v>656.821844966658</v>
      </c>
      <c r="AE9" s="24" t="n">
        <f aca="false">S9+(($V9+$W9+$X9+$Y9)*12/19)+$AA9</f>
        <v>755.388077117885</v>
      </c>
      <c r="AF9" s="24" t="n">
        <f aca="false">T9+(($V9+$W9+$X9+$Y9)*12/19)+$AB9</f>
        <v>1198.9361217984</v>
      </c>
      <c r="AG9" s="24" t="n">
        <f aca="false">U9+(($V9+$W9+$X9+$Y9)*12/19)+$AC9</f>
        <v>2521.61844331067</v>
      </c>
      <c r="AH9" s="146"/>
      <c r="AI9" s="22" t="str">
        <f aca="false">B9</f>
        <v>APS FRANCISCO BELTRÃO</v>
      </c>
      <c r="AJ9" s="68" t="n">
        <f aca="false">VLOOKUP(AI9,Unidades!D$5:H$28,5,)</f>
        <v>0.2624</v>
      </c>
      <c r="AK9" s="48" t="n">
        <f aca="false">AD9*(1+$AJ9)</f>
        <v>829.171897085909</v>
      </c>
      <c r="AL9" s="48" t="n">
        <f aca="false">AE9*(1+$AJ9)</f>
        <v>953.601908553618</v>
      </c>
      <c r="AM9" s="48" t="n">
        <f aca="false">AF9*(1+$AJ9)</f>
        <v>1513.5369601583</v>
      </c>
      <c r="AN9" s="48" t="n">
        <f aca="false">AG9*(1+$AJ9)</f>
        <v>3183.29112283539</v>
      </c>
      <c r="AO9" s="48" t="n">
        <f aca="false">((AK9*12)+(AL9*4)+(AM9*2)+AN9)/12</f>
        <v>1664.56962019978</v>
      </c>
      <c r="AP9" s="48" t="n">
        <f aca="false">AO9*3</f>
        <v>4993.70886059935</v>
      </c>
      <c r="AQ9" s="48" t="n">
        <f aca="false">AO9+AP9</f>
        <v>6658.27848079913</v>
      </c>
      <c r="AR9" s="69"/>
      <c r="AS9" s="69"/>
      <c r="AT9" s="71"/>
      <c r="AU9" s="71"/>
      <c r="AV9" s="71"/>
      <c r="AW9" s="71"/>
    </row>
    <row r="10" customFormat="false" ht="15" hidden="false" customHeight="true" outlineLevel="0" collapsed="false">
      <c r="B10" s="22" t="s">
        <v>142</v>
      </c>
      <c r="C10" s="64" t="n">
        <f aca="false">VLOOKUP($B10,Unidades!$D$5:$N$28,6,FALSE())</f>
        <v>225.98</v>
      </c>
      <c r="D10" s="64" t="n">
        <f aca="false">VLOOKUP($B10,Unidades!$D$5:$N$28,7,FALSE())</f>
        <v>176.31</v>
      </c>
      <c r="E10" s="64" t="n">
        <f aca="false">VLOOKUP($B10,Unidades!$D$5:$N$28,8,FALSE())</f>
        <v>43.59</v>
      </c>
      <c r="F10" s="64" t="n">
        <f aca="false">VLOOKUP($B10,Unidades!$D$5:$N$28,9,FALSE())</f>
        <v>6.08</v>
      </c>
      <c r="G10" s="64" t="n">
        <f aca="false">D10+$E$6*E10+$F$6*F10</f>
        <v>192.1745</v>
      </c>
      <c r="H10" s="65" t="n">
        <f aca="false">IF(G10&lt;750,1.5,IF(G10&lt;2000,2,3))</f>
        <v>1.5</v>
      </c>
      <c r="I10" s="65" t="n">
        <f aca="false">$I$6*H10</f>
        <v>1.8</v>
      </c>
      <c r="J10" s="65" t="str">
        <f aca="false">VLOOKUP($B10,Unidades!$D$5:$N$28,10,FALSE())</f>
        <v>NÃO</v>
      </c>
      <c r="K10" s="65" t="str">
        <f aca="false">VLOOKUP($B10,Unidades!$D$5:$N$28,11,FALSE())</f>
        <v>NÃO</v>
      </c>
      <c r="L10" s="65" t="n">
        <f aca="false">$L$6*H10+(IF(J10="SIM",$J$6,0))</f>
        <v>1.65</v>
      </c>
      <c r="M10" s="65" t="n">
        <f aca="false">$M$6*H10+(IF(J10="SIM",$J$6,0))+(IF(K10="SIM",$K$6,0))</f>
        <v>1.65</v>
      </c>
      <c r="N10" s="65" t="n">
        <f aca="false">H10*12+I10*4+L10*2+M10</f>
        <v>30.15</v>
      </c>
      <c r="O10" s="66" t="n">
        <f aca="false">IF(K10="não", N10*(C$20+D$20),N10*(C$20+D$20)+(M10*+E$20))</f>
        <v>1873.2195</v>
      </c>
      <c r="P10" s="67"/>
      <c r="Q10" s="22" t="str">
        <f aca="false">B10</f>
        <v>APS MANGUEIRINHA</v>
      </c>
      <c r="R10" s="24" t="n">
        <f aca="false">H10*($C$20+$D$20)</f>
        <v>93.195</v>
      </c>
      <c r="S10" s="24" t="n">
        <f aca="false">I10*($C$20+$D$20)</f>
        <v>111.834</v>
      </c>
      <c r="T10" s="24" t="n">
        <f aca="false">L10*($C$20+$D$20)</f>
        <v>102.5145</v>
      </c>
      <c r="U10" s="24" t="n">
        <f aca="false">IF(K10="não",M10*($C$20+$D$20),M10*(C$20+D$20+E$20))</f>
        <v>102.5145</v>
      </c>
      <c r="V10" s="24" t="n">
        <f aca="false">VLOOKUP(Q10,'Desl. Base Pato Branco'!$C$5:$S$14,13,FALSE())*($C$20+$D$20+$E$20*(VLOOKUP(Q10,'Desl. Base Pato Branco'!$C$5:$S$14,17,FALSE())/12))</f>
        <v>73.5205</v>
      </c>
      <c r="W10" s="24" t="n">
        <f aca="false">VLOOKUP(Q10,'Desl. Base Pato Branco'!$C$5:$S$14,15,FALSE())*(2+(VLOOKUP(Q10,'Desl. Base Pato Branco'!$C$5:$S$14,17,FALSE())/12))</f>
        <v>0</v>
      </c>
      <c r="X10" s="24" t="n">
        <f aca="false">VLOOKUP(Q10,'Desl. Base Pato Branco'!$C$5:$Q$14,14,FALSE())</f>
        <v>0</v>
      </c>
      <c r="Y10" s="24" t="n">
        <f aca="false">VLOOKUP(Q10,'Desl. Base Pato Branco'!$C$5:Q$14,13,FALSE())*'Desl. Base Pato Branco'!$E$19+'Desl. Base Pato Branco'!$E$20*N10/12</f>
        <v>79.8117083333333</v>
      </c>
      <c r="Z10" s="24" t="n">
        <f aca="false">(H10/$AC$5)*'Equipe Técnica'!$C$13</f>
        <v>276.428370567099</v>
      </c>
      <c r="AA10" s="24" t="n">
        <f aca="false">(I10/$AC$5)*'Equipe Técnica'!$C$13</f>
        <v>331.714044680519</v>
      </c>
      <c r="AB10" s="24" t="n">
        <f aca="false">(L10/$AC$5)*'Equipe Técnica'!$C$13</f>
        <v>304.071207623809</v>
      </c>
      <c r="AC10" s="24" t="n">
        <f aca="false">(M10/$AC$5)*'Equipe Técnica'!$C$13</f>
        <v>304.071207623809</v>
      </c>
      <c r="AD10" s="24" t="n">
        <f aca="false">R10+(($V10+$W10+$X10+$Y10)*12/19)+$Z10</f>
        <v>466.464765303941</v>
      </c>
      <c r="AE10" s="24" t="n">
        <f aca="false">S10+(($V10+$W10+$X10+$Y10)*12/19)+$AA10</f>
        <v>540.389439417361</v>
      </c>
      <c r="AF10" s="24" t="n">
        <f aca="false">T10+(($V10+$W10+$X10+$Y10)*12/19)+$AB10</f>
        <v>503.427102360651</v>
      </c>
      <c r="AG10" s="24" t="n">
        <f aca="false">U10+(($V10+$W10+$X10+$Y10)*12/19)+$AC10</f>
        <v>503.427102360651</v>
      </c>
      <c r="AH10" s="146"/>
      <c r="AI10" s="22" t="str">
        <f aca="false">B10</f>
        <v>APS MANGUEIRINHA</v>
      </c>
      <c r="AJ10" s="68" t="n">
        <f aca="false">VLOOKUP(AI10,Unidades!D$5:H$28,5,)</f>
        <v>0.2354</v>
      </c>
      <c r="AK10" s="48" t="n">
        <f aca="false">AD10*(1+$AJ10)</f>
        <v>576.270571056489</v>
      </c>
      <c r="AL10" s="48" t="n">
        <f aca="false">AE10*(1+$AJ10)</f>
        <v>667.597113456208</v>
      </c>
      <c r="AM10" s="48" t="n">
        <f aca="false">AF10*(1+$AJ10)</f>
        <v>621.933842256348</v>
      </c>
      <c r="AN10" s="48" t="n">
        <f aca="false">AG10*(1+$AJ10)</f>
        <v>621.933842256348</v>
      </c>
      <c r="AO10" s="48" t="n">
        <f aca="false">((AK10*12)+(AL10*4)+(AM10*2)+AN10)/12</f>
        <v>954.286402772645</v>
      </c>
      <c r="AP10" s="48" t="n">
        <f aca="false">AO10*3</f>
        <v>2862.85920831793</v>
      </c>
      <c r="AQ10" s="48" t="n">
        <f aca="false">AO10+AP10</f>
        <v>3817.14561109058</v>
      </c>
      <c r="AR10" s="69"/>
      <c r="AS10" s="72" t="s">
        <v>72</v>
      </c>
      <c r="AT10" s="48" t="n">
        <f aca="false">(SUM(AT8:AW8))/12</f>
        <v>11572.0794637071</v>
      </c>
      <c r="AU10" s="48"/>
      <c r="AV10" s="71"/>
      <c r="AW10" s="71"/>
    </row>
    <row r="11" customFormat="false" ht="15" hidden="false" customHeight="true" outlineLevel="0" collapsed="false">
      <c r="B11" s="22" t="s">
        <v>143</v>
      </c>
      <c r="C11" s="64" t="n">
        <f aca="false">VLOOKUP($B11,Unidades!$D$5:$N$28,6,FALSE())</f>
        <v>344.88</v>
      </c>
      <c r="D11" s="64" t="n">
        <f aca="false">VLOOKUP($B11,Unidades!$D$5:$N$28,7,FALSE())</f>
        <v>297.31</v>
      </c>
      <c r="E11" s="64" t="n">
        <f aca="false">VLOOKUP($B11,Unidades!$D$5:$N$28,8,FALSE())</f>
        <v>47.57</v>
      </c>
      <c r="F11" s="64" t="n">
        <f aca="false">VLOOKUP($B11,Unidades!$D$5:$N$28,9,FALSE())</f>
        <v>0</v>
      </c>
      <c r="G11" s="64" t="n">
        <f aca="false">D11+$E$6*E11+$F$6*F11</f>
        <v>313.9595</v>
      </c>
      <c r="H11" s="65" t="n">
        <f aca="false">IF(G11&lt;750,1.5,IF(G11&lt;2000,2,3))</f>
        <v>1.5</v>
      </c>
      <c r="I11" s="65" t="n">
        <f aca="false">$I$6*H11</f>
        <v>1.8</v>
      </c>
      <c r="J11" s="65" t="str">
        <f aca="false">VLOOKUP($B11,Unidades!$D$5:$N$28,10,FALSE())</f>
        <v>NÃO</v>
      </c>
      <c r="K11" s="65" t="str">
        <f aca="false">VLOOKUP($B11,Unidades!$D$5:$N$28,11,FALSE())</f>
        <v>NÃO</v>
      </c>
      <c r="L11" s="65" t="n">
        <f aca="false">$L$6*H11+(IF(J11="SIM",$J$6,0))</f>
        <v>1.65</v>
      </c>
      <c r="M11" s="65" t="n">
        <f aca="false">$M$6*H11+(IF(J11="SIM",$J$6,0))+(IF(K11="SIM",$K$6,0))</f>
        <v>1.65</v>
      </c>
      <c r="N11" s="65" t="n">
        <f aca="false">H11*12+I11*4+L11*2+M11</f>
        <v>30.15</v>
      </c>
      <c r="O11" s="66" t="n">
        <f aca="false">IF(K11="não", N11*(C$20+D$20),N11*(C$20+D$20)+(M11*+E$20))</f>
        <v>1873.2195</v>
      </c>
      <c r="P11" s="67"/>
      <c r="Q11" s="22" t="str">
        <f aca="false">B11</f>
        <v>APS PALMAS</v>
      </c>
      <c r="R11" s="24" t="n">
        <f aca="false">H11*($C$20+$D$20)</f>
        <v>93.195</v>
      </c>
      <c r="S11" s="24" t="n">
        <f aca="false">I11*($C$20+$D$20)</f>
        <v>111.834</v>
      </c>
      <c r="T11" s="24" t="n">
        <f aca="false">L11*($C$20+$D$20)</f>
        <v>102.5145</v>
      </c>
      <c r="U11" s="24" t="n">
        <f aca="false">IF(K11="não",M11*($C$20+$D$20),M11*(C$20+D$20+E$20))</f>
        <v>102.5145</v>
      </c>
      <c r="V11" s="24" t="n">
        <f aca="false">VLOOKUP(Q11,'Desl. Base Pato Branco'!$C$5:$S$14,13,FALSE())*($C$20+$D$20+$E$20*(VLOOKUP(Q11,'Desl. Base Pato Branco'!$C$5:$S$14,17,FALSE())/12))</f>
        <v>170.8575</v>
      </c>
      <c r="W11" s="24" t="n">
        <f aca="false">VLOOKUP(Q11,'Desl. Base Pato Branco'!$C$5:$S$14,15,FALSE())*(2+(VLOOKUP(Q11,'Desl. Base Pato Branco'!$C$5:$S$14,17,FALSE())/12))</f>
        <v>0</v>
      </c>
      <c r="X11" s="24" t="n">
        <f aca="false">VLOOKUP(Q11,'Desl. Base Pato Branco'!$C$5:$Q$14,14,FALSE())</f>
        <v>0</v>
      </c>
      <c r="Y11" s="24" t="n">
        <f aca="false">VLOOKUP(Q11,'Desl. Base Pato Branco'!$C$5:Q$14,13,FALSE())*'Desl. Base Pato Branco'!$E$19+'Desl. Base Pato Branco'!$E$20*N11/12</f>
        <v>162.359375</v>
      </c>
      <c r="Z11" s="24" t="n">
        <f aca="false">(H11/$AC$5)*'Equipe Técnica'!$C$13</f>
        <v>276.428370567099</v>
      </c>
      <c r="AA11" s="24" t="n">
        <f aca="false">(I11/$AC$5)*'Equipe Técnica'!$C$13</f>
        <v>331.714044680519</v>
      </c>
      <c r="AB11" s="24" t="n">
        <f aca="false">(L11/$AC$5)*'Equipe Técnica'!$C$13</f>
        <v>304.071207623809</v>
      </c>
      <c r="AC11" s="24" t="n">
        <f aca="false">(M11/$AC$5)*'Equipe Técnica'!$C$13</f>
        <v>304.071207623809</v>
      </c>
      <c r="AD11" s="24" t="n">
        <f aca="false">R11+(($V11+$W11+$X11+$Y11)*12/19)+$Z11</f>
        <v>580.076133724994</v>
      </c>
      <c r="AE11" s="24" t="n">
        <f aca="false">S11+(($V11+$W11+$X11+$Y11)*12/19)+$AA11</f>
        <v>654.000807838413</v>
      </c>
      <c r="AF11" s="24" t="n">
        <f aca="false">T11+(($V11+$W11+$X11+$Y11)*12/19)+$AB11</f>
        <v>617.038470781703</v>
      </c>
      <c r="AG11" s="24" t="n">
        <f aca="false">U11+(($V11+$W11+$X11+$Y11)*12/19)+$AC11</f>
        <v>617.038470781703</v>
      </c>
      <c r="AH11" s="146"/>
      <c r="AI11" s="22" t="str">
        <f aca="false">B11</f>
        <v>APS PALMAS</v>
      </c>
      <c r="AJ11" s="68" t="n">
        <f aca="false">VLOOKUP(AI11,Unidades!D$5:H$28,5,)</f>
        <v>0.2354</v>
      </c>
      <c r="AK11" s="48" t="n">
        <f aca="false">AD11*(1+$AJ11)</f>
        <v>716.626055603857</v>
      </c>
      <c r="AL11" s="48" t="n">
        <f aca="false">AE11*(1+$AJ11)</f>
        <v>807.952598003576</v>
      </c>
      <c r="AM11" s="48" t="n">
        <f aca="false">AF11*(1+$AJ11)</f>
        <v>762.289326803716</v>
      </c>
      <c r="AN11" s="48" t="n">
        <f aca="false">AG11*(1+$AJ11)</f>
        <v>762.289326803716</v>
      </c>
      <c r="AO11" s="48" t="n">
        <f aca="false">((AK11*12)+(AL11*4)+(AM11*2)+AN11)/12</f>
        <v>1176.51591997264</v>
      </c>
      <c r="AP11" s="48" t="n">
        <f aca="false">AO11*3</f>
        <v>3529.54775991793</v>
      </c>
      <c r="AQ11" s="48" t="n">
        <f aca="false">AO11+AP11</f>
        <v>4706.06367989058</v>
      </c>
      <c r="AR11" s="69"/>
      <c r="AS11" s="72" t="s">
        <v>88</v>
      </c>
      <c r="AT11" s="48" t="n">
        <f aca="false">AT10*12</f>
        <v>138864.953564485</v>
      </c>
      <c r="AU11" s="48"/>
      <c r="AV11" s="71"/>
      <c r="AW11" s="71"/>
    </row>
    <row r="12" customFormat="false" ht="15" hidden="false" customHeight="true" outlineLevel="0" collapsed="false">
      <c r="B12" s="22" t="s">
        <v>144</v>
      </c>
      <c r="C12" s="64" t="n">
        <f aca="false">VLOOKUP($B12,Unidades!$D$5:$N$28,6,FALSE())</f>
        <v>2008</v>
      </c>
      <c r="D12" s="64" t="n">
        <f aca="false">VLOOKUP($B12,Unidades!$D$5:$N$28,7,FALSE())</f>
        <v>1400.93</v>
      </c>
      <c r="E12" s="64" t="n">
        <f aca="false">VLOOKUP($B12,Unidades!$D$5:$N$28,8,FALSE())</f>
        <v>459.75</v>
      </c>
      <c r="F12" s="64" t="n">
        <f aca="false">VLOOKUP($B12,Unidades!$D$5:$N$28,9,FALSE())</f>
        <v>147.32</v>
      </c>
      <c r="G12" s="64" t="n">
        <f aca="false">D12+$E$6*E12+$F$6*F12</f>
        <v>1576.5745</v>
      </c>
      <c r="H12" s="65" t="n">
        <f aca="false">IF(G12&lt;750,1.5,IF(G12&lt;2000,2,3))</f>
        <v>2</v>
      </c>
      <c r="I12" s="65" t="n">
        <f aca="false">$I$6*H12</f>
        <v>2.4</v>
      </c>
      <c r="J12" s="65" t="str">
        <f aca="false">VLOOKUP($B12,Unidades!$D$5:$N$28,10,FALSE())</f>
        <v>SIM</v>
      </c>
      <c r="K12" s="65" t="str">
        <f aca="false">VLOOKUP($B12,Unidades!$D$5:$N$28,11,FALSE())</f>
        <v>NÃO</v>
      </c>
      <c r="L12" s="65" t="n">
        <f aca="false">$L$6*H12+(IF(J12="SIM",$J$6,0))</f>
        <v>4.2</v>
      </c>
      <c r="M12" s="65" t="n">
        <f aca="false">$M$6*H12+(IF(J12="SIM",$J$6,0))+(IF(K12="SIM",$K$6,0))</f>
        <v>4.2</v>
      </c>
      <c r="N12" s="65" t="n">
        <f aca="false">H12*12+I12*4+L12*2+M12</f>
        <v>46.2</v>
      </c>
      <c r="O12" s="66" t="n">
        <f aca="false">IF(K12="não", N12*(C$20+D$20),N12*(C$20+D$20)+(M12*+E$20))</f>
        <v>2870.406</v>
      </c>
      <c r="P12" s="67"/>
      <c r="Q12" s="22" t="str">
        <f aca="false">B12</f>
        <v>APS PATO BRANCO</v>
      </c>
      <c r="R12" s="24" t="n">
        <f aca="false">H12*($C$20+$D$20)</f>
        <v>124.26</v>
      </c>
      <c r="S12" s="24" t="n">
        <f aca="false">I12*($C$20+$D$20)</f>
        <v>149.112</v>
      </c>
      <c r="T12" s="24" t="n">
        <f aca="false">L12*($C$20+$D$20)</f>
        <v>260.946</v>
      </c>
      <c r="U12" s="24" t="n">
        <f aca="false">IF(K12="não",M12*($C$20+$D$20),M12*(C$20+D$20+E$20))</f>
        <v>260.946</v>
      </c>
      <c r="V12" s="24" t="n">
        <f aca="false">VLOOKUP(Q12,'Desl. Base Pato Branco'!$C$5:$S$14,13,FALSE())*($C$20+$D$20+$E$20*(VLOOKUP(Q12,'Desl. Base Pato Branco'!$C$5:$S$14,17,FALSE())/12))</f>
        <v>34.9626666666667</v>
      </c>
      <c r="W12" s="24" t="n">
        <f aca="false">VLOOKUP(Q12,'Desl. Base Pato Branco'!$C$5:$S$14,15,FALSE())*(2+(VLOOKUP(Q12,'Desl. Base Pato Branco'!$C$5:$S$14,17,FALSE())/12))</f>
        <v>0</v>
      </c>
      <c r="X12" s="24" t="n">
        <f aca="false">VLOOKUP(Q12,'Desl. Base Pato Branco'!$C$5:$Q$14,14,FALSE())</f>
        <v>0</v>
      </c>
      <c r="Y12" s="24" t="n">
        <f aca="false">VLOOKUP(Q12,'Desl. Base Pato Branco'!$C$5:Q$14,13,FALSE())*'Desl. Base Pato Branco'!$E$19+'Desl. Base Pato Branco'!$E$20*N12/12</f>
        <v>54.8588333333333</v>
      </c>
      <c r="Z12" s="24" t="n">
        <f aca="false">(H12/$AC$5)*'Equipe Técnica'!$C$13</f>
        <v>368.571160756132</v>
      </c>
      <c r="AA12" s="24" t="n">
        <f aca="false">(I12/$AC$5)*'Equipe Técnica'!$C$13</f>
        <v>442.285392907358</v>
      </c>
      <c r="AB12" s="24" t="n">
        <f aca="false">(L12/$AC$5)*'Equipe Técnica'!$C$13</f>
        <v>773.999437587877</v>
      </c>
      <c r="AC12" s="24" t="n">
        <f aca="false">(M12/$AC$5)*'Equipe Técnica'!$C$13</f>
        <v>773.999437587877</v>
      </c>
      <c r="AD12" s="24" t="n">
        <f aca="false">R12+(($V12+$W12+$X12+$Y12)*12/19)+$Z12</f>
        <v>549.560529177184</v>
      </c>
      <c r="AE12" s="24" t="n">
        <f aca="false">S12+(($V12+$W12+$X12+$Y12)*12/19)+$AA12</f>
        <v>648.126761328411</v>
      </c>
      <c r="AF12" s="24" t="n">
        <f aca="false">T12+(($V12+$W12+$X12+$Y12)*12/19)+$AB12</f>
        <v>1091.67480600893</v>
      </c>
      <c r="AG12" s="24" t="n">
        <f aca="false">U12+(($V12+$W12+$X12+$Y12)*12/19)+$AC12</f>
        <v>1091.67480600893</v>
      </c>
      <c r="AH12" s="146"/>
      <c r="AI12" s="22" t="str">
        <f aca="false">B12</f>
        <v>APS PATO BRANCO</v>
      </c>
      <c r="AJ12" s="68" t="n">
        <f aca="false">VLOOKUP(AI12,Unidades!D$5:H$28,5,)</f>
        <v>0.2223</v>
      </c>
      <c r="AK12" s="48" t="n">
        <f aca="false">AD12*(1+$AJ12)</f>
        <v>671.727834813273</v>
      </c>
      <c r="AL12" s="48" t="n">
        <f aca="false">AE12*(1+$AJ12)</f>
        <v>792.205340371717</v>
      </c>
      <c r="AM12" s="48" t="n">
        <f aca="false">AF12*(1+$AJ12)</f>
        <v>1334.35411538471</v>
      </c>
      <c r="AN12" s="48" t="n">
        <f aca="false">AG12*(1+$AJ12)</f>
        <v>1334.35411538471</v>
      </c>
      <c r="AO12" s="48" t="n">
        <f aca="false">((AK12*12)+(AL12*4)+(AM12*2)+AN12)/12</f>
        <v>1269.38481045002</v>
      </c>
      <c r="AP12" s="48" t="n">
        <f aca="false">AO12*3</f>
        <v>3808.15443135007</v>
      </c>
      <c r="AQ12" s="48" t="n">
        <f aca="false">AO12+AP12</f>
        <v>5077.53924180009</v>
      </c>
      <c r="AR12" s="69"/>
      <c r="AS12" s="72" t="s">
        <v>73</v>
      </c>
      <c r="AT12" s="48" t="n">
        <f aca="false">AT10*3</f>
        <v>34716.2383911214</v>
      </c>
      <c r="AU12" s="48"/>
      <c r="AV12" s="69"/>
      <c r="AW12" s="69"/>
    </row>
    <row r="13" customFormat="false" ht="15" hidden="false" customHeight="true" outlineLevel="0" collapsed="false">
      <c r="B13" s="22" t="s">
        <v>145</v>
      </c>
      <c r="C13" s="64" t="n">
        <f aca="false">VLOOKUP($B13,Unidades!$D$5:$N$28,6,FALSE())</f>
        <v>549</v>
      </c>
      <c r="D13" s="64" t="n">
        <f aca="false">VLOOKUP($B13,Unidades!$D$5:$N$28,7,FALSE())</f>
        <v>314.44</v>
      </c>
      <c r="E13" s="64" t="n">
        <f aca="false">VLOOKUP($B13,Unidades!$D$5:$N$28,8,FALSE())</f>
        <v>18.27</v>
      </c>
      <c r="F13" s="64" t="n">
        <f aca="false">VLOOKUP($B13,Unidades!$D$5:$N$28,9,FALSE())</f>
        <v>216.29</v>
      </c>
      <c r="G13" s="64" t="n">
        <f aca="false">D13+$E$6*E13+$F$6*F13</f>
        <v>342.4635</v>
      </c>
      <c r="H13" s="65" t="n">
        <f aca="false">IF(G13&lt;750,1.5,IF(G13&lt;2000,2,3))</f>
        <v>1.5</v>
      </c>
      <c r="I13" s="65" t="n">
        <f aca="false">$I$6*H13</f>
        <v>1.8</v>
      </c>
      <c r="J13" s="65" t="str">
        <f aca="false">VLOOKUP($B13,Unidades!$D$5:$N$28,10,FALSE())</f>
        <v>NÃO</v>
      </c>
      <c r="K13" s="65" t="str">
        <f aca="false">VLOOKUP($B13,Unidades!$D$5:$N$28,11,FALSE())</f>
        <v>NÃO</v>
      </c>
      <c r="L13" s="65" t="n">
        <f aca="false">$L$6*H13+(IF(J13="SIM",$J$6,0))</f>
        <v>1.65</v>
      </c>
      <c r="M13" s="65" t="n">
        <f aca="false">$M$6*H13+(IF(J13="SIM",$J$6,0))+(IF(K13="SIM",$K$6,0))</f>
        <v>1.65</v>
      </c>
      <c r="N13" s="65" t="n">
        <f aca="false">H13*12+I13*4+L13*2+M13</f>
        <v>30.15</v>
      </c>
      <c r="O13" s="66" t="n">
        <f aca="false">IF(K13="não", N13*(C$20+D$20),N13*(C$20+D$20)+(M13*+E$20))</f>
        <v>1873.2195</v>
      </c>
      <c r="P13" s="67"/>
      <c r="Q13" s="22" t="str">
        <f aca="false">B13</f>
        <v>APS REALEZA</v>
      </c>
      <c r="R13" s="24" t="n">
        <f aca="false">H13*($C$20+$D$20)</f>
        <v>93.195</v>
      </c>
      <c r="S13" s="24" t="n">
        <f aca="false">I13*($C$20+$D$20)</f>
        <v>111.834</v>
      </c>
      <c r="T13" s="24" t="n">
        <f aca="false">L13*($C$20+$D$20)</f>
        <v>102.5145</v>
      </c>
      <c r="U13" s="24" t="n">
        <f aca="false">IF(K13="não",M13*($C$20+$D$20),M13*(C$20+D$20+E$20))</f>
        <v>102.5145</v>
      </c>
      <c r="V13" s="24" t="n">
        <f aca="false">VLOOKUP(Q13,'Desl. Base Pato Branco'!$C$5:$S$14,13,FALSE())*($C$20+$D$20+$E$20*(VLOOKUP(Q13,'Desl. Base Pato Branco'!$C$5:$S$14,17,FALSE())/12))</f>
        <v>127.88425</v>
      </c>
      <c r="W13" s="24" t="n">
        <f aca="false">VLOOKUP(Q13,'Desl. Base Pato Branco'!$C$5:$S$14,15,FALSE())*(2+(VLOOKUP(Q13,'Desl. Base Pato Branco'!$C$5:$S$14,17,FALSE())/12))</f>
        <v>0</v>
      </c>
      <c r="X13" s="24" t="n">
        <f aca="false">VLOOKUP(Q13,'Desl. Base Pato Branco'!$C$5:$Q$14,14,FALSE())</f>
        <v>0</v>
      </c>
      <c r="Y13" s="24" t="n">
        <f aca="false">VLOOKUP(Q13,'Desl. Base Pato Branco'!$C$5:Q$14,13,FALSE())*'Desl. Base Pato Branco'!$E$19+'Desl. Base Pato Branco'!$E$20*N13/12</f>
        <v>125.915458333333</v>
      </c>
      <c r="Z13" s="24" t="n">
        <f aca="false">(H13/$AC$5)*'Equipe Técnica'!$C$13</f>
        <v>276.428370567099</v>
      </c>
      <c r="AA13" s="24" t="n">
        <f aca="false">(I13/$AC$5)*'Equipe Técnica'!$C$13</f>
        <v>331.714044680519</v>
      </c>
      <c r="AB13" s="24" t="n">
        <f aca="false">(L13/$AC$5)*'Equipe Técnica'!$C$13</f>
        <v>304.071207623809</v>
      </c>
      <c r="AC13" s="24" t="n">
        <f aca="false">(M13/$AC$5)*'Equipe Técnica'!$C$13</f>
        <v>304.071207623809</v>
      </c>
      <c r="AD13" s="24" t="n">
        <f aca="false">R13+(($V13+$W13+$X13+$Y13)*12/19)+$Z13</f>
        <v>529.917923198678</v>
      </c>
      <c r="AE13" s="24" t="n">
        <f aca="false">S13+(($V13+$W13+$X13+$Y13)*12/19)+$AA13</f>
        <v>603.842597312097</v>
      </c>
      <c r="AF13" s="24" t="n">
        <f aca="false">T13+(($V13+$W13+$X13+$Y13)*12/19)+$AB13</f>
        <v>566.880260255388</v>
      </c>
      <c r="AG13" s="24" t="n">
        <f aca="false">U13+(($V13+$W13+$X13+$Y13)*12/19)+$AC13</f>
        <v>566.880260255388</v>
      </c>
      <c r="AH13" s="146"/>
      <c r="AI13" s="22" t="str">
        <f aca="false">B13</f>
        <v>APS REALEZA</v>
      </c>
      <c r="AJ13" s="68" t="n">
        <f aca="false">VLOOKUP(AI13,Unidades!D$5:H$28,5,)</f>
        <v>0.2354</v>
      </c>
      <c r="AK13" s="48" t="n">
        <f aca="false">AD13*(1+$AJ13)</f>
        <v>654.660602319646</v>
      </c>
      <c r="AL13" s="48" t="n">
        <f aca="false">AE13*(1+$AJ13)</f>
        <v>745.987144719365</v>
      </c>
      <c r="AM13" s="48" t="n">
        <f aca="false">AF13*(1+$AJ13)</f>
        <v>700.323873519506</v>
      </c>
      <c r="AN13" s="48" t="n">
        <f aca="false">AG13*(1+$AJ13)</f>
        <v>700.323873519506</v>
      </c>
      <c r="AO13" s="48" t="n">
        <f aca="false">((AK13*12)+(AL13*4)+(AM13*2)+AN13)/12</f>
        <v>1078.40395227264</v>
      </c>
      <c r="AP13" s="48" t="n">
        <f aca="false">AO13*3</f>
        <v>3235.21185681793</v>
      </c>
      <c r="AQ13" s="48" t="n">
        <f aca="false">AO13+AP13</f>
        <v>4313.61580909058</v>
      </c>
      <c r="AR13" s="69"/>
      <c r="AS13" s="72" t="s">
        <v>91</v>
      </c>
      <c r="AT13" s="48" t="n">
        <f aca="false">AT12*12</f>
        <v>416594.860693456</v>
      </c>
      <c r="AU13" s="48"/>
      <c r="AV13" s="71"/>
      <c r="AW13" s="71"/>
    </row>
    <row r="14" customFormat="false" ht="15" hidden="false" customHeight="true" outlineLevel="0" collapsed="false">
      <c r="B14" s="22" t="s">
        <v>146</v>
      </c>
      <c r="C14" s="64" t="n">
        <f aca="false">VLOOKUP($B14,Unidades!$D$5:$N$28,6,FALSE())</f>
        <v>373.64</v>
      </c>
      <c r="D14" s="64" t="n">
        <f aca="false">VLOOKUP($B14,Unidades!$D$5:$N$28,7,FALSE())</f>
        <v>293.1</v>
      </c>
      <c r="E14" s="64" t="n">
        <f aca="false">VLOOKUP($B14,Unidades!$D$5:$N$28,8,FALSE())</f>
        <v>80.54</v>
      </c>
      <c r="F14" s="64" t="n">
        <f aca="false">VLOOKUP($B14,Unidades!$D$5:$N$28,9,FALSE())</f>
        <v>0</v>
      </c>
      <c r="G14" s="64" t="n">
        <f aca="false">D14+$E$6*E14+$F$6*F14</f>
        <v>321.289</v>
      </c>
      <c r="H14" s="65" t="n">
        <f aca="false">IF(G14&lt;750,1.5,IF(G14&lt;2000,2,3))</f>
        <v>1.5</v>
      </c>
      <c r="I14" s="65" t="n">
        <f aca="false">$I$6*H14</f>
        <v>1.8</v>
      </c>
      <c r="J14" s="65" t="str">
        <f aca="false">VLOOKUP($B14,Unidades!$D$5:$N$28,10,FALSE())</f>
        <v>NÃO</v>
      </c>
      <c r="K14" s="65" t="str">
        <f aca="false">VLOOKUP($B14,Unidades!$D$5:$N$28,11,FALSE())</f>
        <v>NÃO</v>
      </c>
      <c r="L14" s="65" t="n">
        <f aca="false">$L$6*H14+(IF(J14="SIM",$J$6,0))</f>
        <v>1.65</v>
      </c>
      <c r="M14" s="65" t="n">
        <f aca="false">$M$6*H14+(IF(J14="SIM",$J$6,0))+(IF(K14="SIM",$K$6,0))</f>
        <v>1.65</v>
      </c>
      <c r="N14" s="65" t="n">
        <f aca="false">H14*12+I14*4+L14*2+M14</f>
        <v>30.15</v>
      </c>
      <c r="O14" s="66" t="n">
        <f aca="false">IF(K14="não", N14*(C$20+D$20),N14*(C$20+D$20)+(M14*+E$20))</f>
        <v>1873.2195</v>
      </c>
      <c r="P14" s="67"/>
      <c r="Q14" s="22" t="str">
        <f aca="false">B14</f>
        <v>APS STO. ANTÔNIO DO SUDOESTE</v>
      </c>
      <c r="R14" s="24" t="n">
        <f aca="false">H14*($C$20+$D$20)</f>
        <v>93.195</v>
      </c>
      <c r="S14" s="24" t="n">
        <f aca="false">I14*($C$20+$D$20)</f>
        <v>111.834</v>
      </c>
      <c r="T14" s="24" t="n">
        <f aca="false">L14*($C$20+$D$20)</f>
        <v>102.5145</v>
      </c>
      <c r="U14" s="24" t="n">
        <f aca="false">IF(K14="não",M14*($C$20+$D$20),M14*(C$20+D$20+E$20))</f>
        <v>102.5145</v>
      </c>
      <c r="V14" s="24" t="n">
        <f aca="false">VLOOKUP(Q14,'Desl. Base Pato Branco'!$C$5:$S$14,13,FALSE())*($C$20+$D$20+$E$20*(VLOOKUP(Q14,'Desl. Base Pato Branco'!$C$5:$S$14,17,FALSE())/12))</f>
        <v>143.9345</v>
      </c>
      <c r="W14" s="24" t="n">
        <f aca="false">VLOOKUP(Q14,'Desl. Base Pato Branco'!$C$5:$S$14,15,FALSE())*(2+(VLOOKUP(Q14,'Desl. Base Pato Branco'!$C$5:$S$14,17,FALSE())/12))</f>
        <v>0</v>
      </c>
      <c r="X14" s="24" t="n">
        <f aca="false">VLOOKUP(Q14,'Desl. Base Pato Branco'!$C$5:$Q$14,14,FALSE())</f>
        <v>0</v>
      </c>
      <c r="Y14" s="24" t="n">
        <f aca="false">VLOOKUP(Q14,'Desl. Base Pato Branco'!$C$5:Q$14,13,FALSE())*'Desl. Base Pato Branco'!$E$19+'Desl. Base Pato Branco'!$E$20*N14/12</f>
        <v>139.527041666667</v>
      </c>
      <c r="Z14" s="24" t="n">
        <f aca="false">(H14/$AC$5)*'Equipe Técnica'!$C$13</f>
        <v>276.428370567099</v>
      </c>
      <c r="AA14" s="24" t="n">
        <f aca="false">(I14/$AC$5)*'Equipe Técnica'!$C$13</f>
        <v>331.714044680519</v>
      </c>
      <c r="AB14" s="24" t="n">
        <f aca="false">(L14/$AC$5)*'Equipe Técnica'!$C$13</f>
        <v>304.071207623809</v>
      </c>
      <c r="AC14" s="24" t="n">
        <f aca="false">(M14/$AC$5)*'Equipe Técnica'!$C$13</f>
        <v>304.071207623809</v>
      </c>
      <c r="AD14" s="24" t="n">
        <f aca="false">R14+(($V14+$W14+$X14+$Y14)*12/19)+$Z14</f>
        <v>548.651712672362</v>
      </c>
      <c r="AE14" s="24" t="n">
        <f aca="false">S14+(($V14+$W14+$X14+$Y14)*12/19)+$AA14</f>
        <v>622.576386785782</v>
      </c>
      <c r="AF14" s="24" t="n">
        <f aca="false">T14+(($V14+$W14+$X14+$Y14)*12/19)+$AB14</f>
        <v>585.614049729072</v>
      </c>
      <c r="AG14" s="24" t="n">
        <f aca="false">U14+(($V14+$W14+$X14+$Y14)*12/19)+$AC14</f>
        <v>585.614049729072</v>
      </c>
      <c r="AH14" s="146"/>
      <c r="AI14" s="22" t="str">
        <f aca="false">B14</f>
        <v>APS STO. ANTÔNIO DO SUDOESTE</v>
      </c>
      <c r="AJ14" s="68" t="n">
        <f aca="false">VLOOKUP(AI14,Unidades!D$5:H$28,5,)</f>
        <v>0.2354</v>
      </c>
      <c r="AK14" s="48" t="n">
        <f aca="false">AD14*(1+$AJ14)</f>
        <v>677.804325835436</v>
      </c>
      <c r="AL14" s="48" t="n">
        <f aca="false">AE14*(1+$AJ14)</f>
        <v>769.130868235155</v>
      </c>
      <c r="AM14" s="48" t="n">
        <f aca="false">AF14*(1+$AJ14)</f>
        <v>723.467597035296</v>
      </c>
      <c r="AN14" s="48" t="n">
        <f aca="false">AG14*(1+$AJ14)</f>
        <v>723.467597035296</v>
      </c>
      <c r="AO14" s="48" t="n">
        <f aca="false">((AK14*12)+(AL14*4)+(AM14*2)+AN14)/12</f>
        <v>1115.04818117265</v>
      </c>
      <c r="AP14" s="48" t="n">
        <f aca="false">AO14*3</f>
        <v>3345.14454351794</v>
      </c>
      <c r="AQ14" s="48" t="n">
        <f aca="false">AO14+AP14</f>
        <v>4460.19272469058</v>
      </c>
      <c r="AR14" s="69"/>
      <c r="AS14" s="72" t="s">
        <v>93</v>
      </c>
      <c r="AT14" s="48" t="n">
        <f aca="false">AT10+AT12</f>
        <v>46288.3178548285</v>
      </c>
      <c r="AU14" s="48"/>
      <c r="AV14" s="71"/>
      <c r="AW14" s="71"/>
    </row>
    <row r="15" customFormat="false" ht="15" hidden="false" customHeight="true" outlineLevel="0" collapsed="false">
      <c r="B15" s="22" t="s">
        <v>147</v>
      </c>
      <c r="C15" s="64" t="n">
        <f aca="false">VLOOKUP($B15,Unidades!$D$5:$N$28,6,FALSE())</f>
        <v>334.4</v>
      </c>
      <c r="D15" s="64" t="n">
        <f aca="false">VLOOKUP($B15,Unidades!$D$5:$N$28,7,FALSE())</f>
        <v>296</v>
      </c>
      <c r="E15" s="64" t="n">
        <f aca="false">VLOOKUP($B15,Unidades!$D$5:$N$28,8,FALSE())</f>
        <v>38.4</v>
      </c>
      <c r="F15" s="64" t="n">
        <f aca="false">VLOOKUP($B15,Unidades!$D$5:$N$28,9,FALSE())</f>
        <v>0</v>
      </c>
      <c r="G15" s="64" t="n">
        <f aca="false">D15+$E$6*E15+$F$6*F15</f>
        <v>309.44</v>
      </c>
      <c r="H15" s="65" t="n">
        <f aca="false">IF(G15&lt;750,1.5,IF(G15&lt;2000,2,3))</f>
        <v>1.5</v>
      </c>
      <c r="I15" s="65" t="n">
        <f aca="false">$I$6*H15</f>
        <v>1.8</v>
      </c>
      <c r="J15" s="65" t="str">
        <f aca="false">VLOOKUP($B15,Unidades!$D$5:$N$28,10,FALSE())</f>
        <v>NÃO</v>
      </c>
      <c r="K15" s="65" t="str">
        <f aca="false">VLOOKUP($B15,Unidades!$D$5:$N$28,11,FALSE())</f>
        <v>NÃO</v>
      </c>
      <c r="L15" s="65" t="n">
        <f aca="false">$L$6*H15+(IF(J15="SIM",$J$6,0))</f>
        <v>1.65</v>
      </c>
      <c r="M15" s="65" t="n">
        <f aca="false">$M$6*H15+(IF(J15="SIM",$J$6,0))+(IF(K15="SIM",$K$6,0))</f>
        <v>1.65</v>
      </c>
      <c r="N15" s="65" t="n">
        <f aca="false">H15*12+I15*4+L15*2+M15</f>
        <v>30.15</v>
      </c>
      <c r="O15" s="66" t="n">
        <f aca="false">IF(K15="não", N15*(C$20+D$20),N15*(C$20+D$20)+(M15*+E$20))</f>
        <v>1873.2195</v>
      </c>
      <c r="P15" s="67"/>
      <c r="Q15" s="22" t="str">
        <f aca="false">B15</f>
        <v>APS DIONÍSIO CERQUEIRA</v>
      </c>
      <c r="R15" s="24" t="n">
        <f aca="false">H15*($C$20+$D$20)</f>
        <v>93.195</v>
      </c>
      <c r="S15" s="24" t="n">
        <f aca="false">I15*($C$20+$D$20)</f>
        <v>111.834</v>
      </c>
      <c r="T15" s="24" t="n">
        <f aca="false">L15*($C$20+$D$20)</f>
        <v>102.5145</v>
      </c>
      <c r="U15" s="24" t="n">
        <f aca="false">IF(K15="não",M15*($C$20+$D$20),M15*(C$20+D$20+E$20))</f>
        <v>102.5145</v>
      </c>
      <c r="V15" s="24" t="n">
        <f aca="false">VLOOKUP(Q15,'Desl. Base Pato Branco'!$C$5:$S$14,13,FALSE())*($C$20+$D$20+$E$20*(VLOOKUP(Q15,'Desl. Base Pato Branco'!$C$5:$S$14,17,FALSE())/12))</f>
        <v>143.9345</v>
      </c>
      <c r="W15" s="24" t="n">
        <f aca="false">VLOOKUP(Q15,'Desl. Base Pato Branco'!$C$5:$S$14,15,FALSE())*(2+(VLOOKUP(Q15,'Desl. Base Pato Branco'!$C$5:$S$14,17,FALSE())/12))</f>
        <v>0</v>
      </c>
      <c r="X15" s="24" t="n">
        <f aca="false">VLOOKUP(Q15,'Desl. Base Pato Branco'!$C$5:$Q$14,14,FALSE())</f>
        <v>0</v>
      </c>
      <c r="Y15" s="24" t="n">
        <f aca="false">VLOOKUP(Q15,'Desl. Base Pato Branco'!$C$5:Q$14,13,FALSE())*'Desl. Base Pato Branco'!$E$19+'Desl. Base Pato Branco'!$E$20*N15/12</f>
        <v>139.527041666667</v>
      </c>
      <c r="Z15" s="24" t="n">
        <f aca="false">(H15/$AC$5)*'Equipe Técnica'!$C$13</f>
        <v>276.428370567099</v>
      </c>
      <c r="AA15" s="24" t="n">
        <f aca="false">(I15/$AC$5)*'Equipe Técnica'!$C$13</f>
        <v>331.714044680519</v>
      </c>
      <c r="AB15" s="24" t="n">
        <f aca="false">(L15/$AC$5)*'Equipe Técnica'!$C$13</f>
        <v>304.071207623809</v>
      </c>
      <c r="AC15" s="24" t="n">
        <f aca="false">(M15/$AC$5)*'Equipe Técnica'!$C$13</f>
        <v>304.071207623809</v>
      </c>
      <c r="AD15" s="24" t="n">
        <f aca="false">R15+(($V15+$W15+$X15+$Y15)*12/19)+$Z15</f>
        <v>548.651712672362</v>
      </c>
      <c r="AE15" s="24" t="n">
        <f aca="false">S15+(($V15+$W15+$X15+$Y15)*12/19)+$AA15</f>
        <v>622.576386785782</v>
      </c>
      <c r="AF15" s="24" t="n">
        <f aca="false">T15+(($V15+$W15+$X15+$Y15)*12/19)+$AB15</f>
        <v>585.614049729072</v>
      </c>
      <c r="AG15" s="24" t="n">
        <f aca="false">U15+(($V15+$W15+$X15+$Y15)*12/19)+$AC15</f>
        <v>585.614049729072</v>
      </c>
      <c r="AH15" s="146"/>
      <c r="AI15" s="22" t="str">
        <f aca="false">B15</f>
        <v>APS DIONÍSIO CERQUEIRA</v>
      </c>
      <c r="AJ15" s="68" t="n">
        <f aca="false">VLOOKUP(AI15,Unidades!D$5:H$28,5,)</f>
        <v>0.2354</v>
      </c>
      <c r="AK15" s="48" t="n">
        <f aca="false">AD15*(1+$AJ15)</f>
        <v>677.804325835436</v>
      </c>
      <c r="AL15" s="48" t="n">
        <f aca="false">AE15*(1+$AJ15)</f>
        <v>769.130868235155</v>
      </c>
      <c r="AM15" s="48" t="n">
        <f aca="false">AF15*(1+$AJ15)</f>
        <v>723.467597035296</v>
      </c>
      <c r="AN15" s="48" t="n">
        <f aca="false">AG15*(1+$AJ15)</f>
        <v>723.467597035296</v>
      </c>
      <c r="AO15" s="48" t="n">
        <f aca="false">((AK15*12)+(AL15*4)+(AM15*2)+AN15)/12</f>
        <v>1115.04818117265</v>
      </c>
      <c r="AP15" s="48" t="n">
        <f aca="false">AO15*3</f>
        <v>3345.14454351794</v>
      </c>
      <c r="AQ15" s="48" t="n">
        <f aca="false">AO15+AP15</f>
        <v>4460.19272469058</v>
      </c>
      <c r="AR15" s="69"/>
      <c r="AS15" s="72" t="s">
        <v>95</v>
      </c>
      <c r="AT15" s="48" t="n">
        <f aca="false">AT11+AT13</f>
        <v>555459.814257942</v>
      </c>
      <c r="AU15" s="48"/>
      <c r="AV15" s="69"/>
      <c r="AW15" s="69"/>
    </row>
    <row r="16" customFormat="false" ht="15" hidden="false" customHeight="true" outlineLevel="0" collapsed="false">
      <c r="B16" s="22" t="s">
        <v>148</v>
      </c>
      <c r="C16" s="64" t="n">
        <f aca="false">VLOOKUP($B16,Unidades!$D$5:$N$28,6,FALSE())</f>
        <v>963</v>
      </c>
      <c r="D16" s="64" t="n">
        <f aca="false">VLOOKUP($B16,Unidades!$D$5:$N$28,7,FALSE())</f>
        <v>578</v>
      </c>
      <c r="E16" s="64" t="n">
        <f aca="false">VLOOKUP($B16,Unidades!$D$5:$N$28,8,FALSE())</f>
        <v>97</v>
      </c>
      <c r="F16" s="64" t="n">
        <f aca="false">VLOOKUP($B16,Unidades!$D$5:$N$28,9,FALSE())</f>
        <v>288</v>
      </c>
      <c r="G16" s="64" t="n">
        <f aca="false">D16+$E$6*E16+$F$6*F16</f>
        <v>640.75</v>
      </c>
      <c r="H16" s="65" t="n">
        <f aca="false">IF(G16&lt;750,1.5,IF(G16&lt;2000,2,3))</f>
        <v>1.5</v>
      </c>
      <c r="I16" s="65" t="n">
        <f aca="false">$I$6*H16</f>
        <v>1.8</v>
      </c>
      <c r="J16" s="65" t="str">
        <f aca="false">VLOOKUP($B16,Unidades!$D$5:$N$28,10,FALSE())</f>
        <v>SIM</v>
      </c>
      <c r="K16" s="65" t="str">
        <f aca="false">VLOOKUP($B16,Unidades!$D$5:$N$28,11,FALSE())</f>
        <v>SIM</v>
      </c>
      <c r="L16" s="65" t="n">
        <f aca="false">$L$6*H16+(IF(J16="SIM",$J$6,0))</f>
        <v>3.65</v>
      </c>
      <c r="M16" s="65" t="n">
        <f aca="false">$M$6*H16+(IF(J16="SIM",$J$6,0))+(IF(K16="SIM",$K$6,0))</f>
        <v>7.65</v>
      </c>
      <c r="N16" s="65" t="n">
        <f aca="false">H16*12+I16*4+L16*2+M16</f>
        <v>40.15</v>
      </c>
      <c r="O16" s="66" t="n">
        <f aca="false">IF(K16="não", N16*(C$20+D$20),N16*(C$20+D$20)+(M16*+E$20))</f>
        <v>2808.9345</v>
      </c>
      <c r="P16" s="67"/>
      <c r="Q16" s="22" t="str">
        <f aca="false">B16</f>
        <v>APS SÃO L. DO OESTE</v>
      </c>
      <c r="R16" s="24" t="n">
        <f aca="false">H16*($C$20+$D$20)</f>
        <v>93.195</v>
      </c>
      <c r="S16" s="24" t="n">
        <f aca="false">I16*($C$20+$D$20)</f>
        <v>111.834</v>
      </c>
      <c r="T16" s="24" t="n">
        <f aca="false">L16*($C$20+$D$20)</f>
        <v>226.7745</v>
      </c>
      <c r="U16" s="24" t="n">
        <f aca="false">IF(K16="não",M16*($C$20+$D$20),M16*(C$20+D$20+E$20))</f>
        <v>789.7095</v>
      </c>
      <c r="V16" s="24" t="n">
        <f aca="false">VLOOKUP(Q16,'Desl. Base Pato Branco'!$C$5:$S$14,13,FALSE())*($C$20+$D$20+$E$20*(VLOOKUP(Q16,'Desl. Base Pato Branco'!$C$5:$S$14,17,FALSE())/12))</f>
        <v>34.9626666666667</v>
      </c>
      <c r="W16" s="24" t="n">
        <f aca="false">VLOOKUP(Q16,'Desl. Base Pato Branco'!$C$5:$S$14,15,FALSE())*(2+(VLOOKUP(Q16,'Desl. Base Pato Branco'!$C$5:$S$14,17,FALSE())/12))</f>
        <v>0</v>
      </c>
      <c r="X16" s="24" t="n">
        <f aca="false">VLOOKUP(Q16,'Desl. Base Pato Branco'!$C$5:$Q$14,14,FALSE())</f>
        <v>0</v>
      </c>
      <c r="Y16" s="24" t="n">
        <f aca="false">VLOOKUP(Q16,'Desl. Base Pato Branco'!$C$5:Q$14,13,FALSE())*'Desl. Base Pato Branco'!$E$19+'Desl. Base Pato Branco'!$E$20*N16/12</f>
        <v>51.354875</v>
      </c>
      <c r="Z16" s="24" t="n">
        <f aca="false">(H16/$AC$5)*'Equipe Técnica'!$C$13</f>
        <v>276.428370567099</v>
      </c>
      <c r="AA16" s="24" t="n">
        <f aca="false">(I16/$AC$5)*'Equipe Técnica'!$C$13</f>
        <v>331.714044680519</v>
      </c>
      <c r="AB16" s="24" t="n">
        <f aca="false">(L16/$AC$5)*'Equipe Técnica'!$C$13</f>
        <v>672.642368379941</v>
      </c>
      <c r="AC16" s="24" t="n">
        <f aca="false">(M16/$AC$5)*'Equipe Técnica'!$C$13</f>
        <v>1409.7846898922</v>
      </c>
      <c r="AD16" s="24" t="n">
        <f aca="false">R16+(($V16+$W16+$X16+$Y16)*12/19)+$Z16</f>
        <v>424.139712672362</v>
      </c>
      <c r="AE16" s="24" t="n">
        <f aca="false">S16+(($V16+$W16+$X16+$Y16)*12/19)+$AA16</f>
        <v>498.064386785782</v>
      </c>
      <c r="AF16" s="24" t="n">
        <f aca="false">T16+(($V16+$W16+$X16+$Y16)*12/19)+$AB16</f>
        <v>953.933210485204</v>
      </c>
      <c r="AG16" s="24" t="n">
        <f aca="false">U16+(($V16+$W16+$X16+$Y16)*12/19)+$AC16</f>
        <v>2254.01053199747</v>
      </c>
      <c r="AH16" s="146"/>
      <c r="AI16" s="22" t="str">
        <f aca="false">B16</f>
        <v>APS SÃO L. DO OESTE</v>
      </c>
      <c r="AJ16" s="68" t="n">
        <f aca="false">VLOOKUP(AI16,Unidades!D$5:H$28,5,)</f>
        <v>0.2223</v>
      </c>
      <c r="AK16" s="48" t="n">
        <f aca="false">AD16*(1+$AJ16)</f>
        <v>518.425970799428</v>
      </c>
      <c r="AL16" s="48" t="n">
        <f aca="false">AE16*(1+$AJ16)</f>
        <v>608.784099968261</v>
      </c>
      <c r="AM16" s="48" t="n">
        <f aca="false">AF16*(1+$AJ16)</f>
        <v>1165.99256317606</v>
      </c>
      <c r="AN16" s="48" t="n">
        <f aca="false">AG16*(1+$AJ16)</f>
        <v>2755.0770732605</v>
      </c>
      <c r="AO16" s="48" t="n">
        <f aca="false">((AK16*12)+(AL16*4)+(AM16*2)+AN16)/12</f>
        <v>1145.2758540899</v>
      </c>
      <c r="AP16" s="48" t="n">
        <f aca="false">AO16*3</f>
        <v>3435.8275622697</v>
      </c>
      <c r="AQ16" s="48" t="n">
        <f aca="false">AO16+AP16</f>
        <v>4581.10341635961</v>
      </c>
      <c r="AR16" s="69"/>
      <c r="AS16" s="69"/>
      <c r="AT16" s="69"/>
      <c r="AU16" s="69"/>
      <c r="AV16" s="69"/>
      <c r="AW16" s="69"/>
    </row>
    <row r="17" customFormat="false" ht="19.5" hidden="false" customHeight="true" outlineLevel="0" collapsed="false">
      <c r="A17" s="147"/>
      <c r="B17" s="9" t="s">
        <v>101</v>
      </c>
      <c r="C17" s="73" t="n">
        <f aca="false">SUM(C7:C16)</f>
        <v>7311.3</v>
      </c>
      <c r="D17" s="73" t="n">
        <f aca="false">SUM(D7:D16)</f>
        <v>5133.31</v>
      </c>
      <c r="E17" s="73" t="n">
        <f aca="false">SUM(E7:E16)</f>
        <v>1438.76</v>
      </c>
      <c r="F17" s="73" t="n">
        <f aca="false">SUM(F7:F16)</f>
        <v>739.23</v>
      </c>
      <c r="G17" s="73" t="n">
        <f aca="false">SUM(G7:G16)</f>
        <v>5710.799</v>
      </c>
      <c r="H17" s="74" t="n">
        <f aca="false">SUM(H7:H16)</f>
        <v>16</v>
      </c>
      <c r="I17" s="74" t="n">
        <f aca="false">SUM(I7:I16)</f>
        <v>19.2</v>
      </c>
      <c r="J17" s="74" t="n">
        <f aca="false">COUNTIF(J7:J16,"SIM")</f>
        <v>3</v>
      </c>
      <c r="K17" s="74" t="n">
        <f aca="false">COUNTIF(K7:K16,"SIM")</f>
        <v>2</v>
      </c>
      <c r="L17" s="74" t="n">
        <f aca="false">SUM(L7:L16)</f>
        <v>23.6</v>
      </c>
      <c r="M17" s="74" t="n">
        <f aca="false">SUM(M7:M16)</f>
        <v>31.6</v>
      </c>
      <c r="N17" s="74" t="n">
        <f aca="false">SUM(N7:N16)</f>
        <v>347.6</v>
      </c>
      <c r="O17" s="75" t="n">
        <f aca="false">SUM(O7:O16)</f>
        <v>22247.823</v>
      </c>
      <c r="P17" s="148"/>
      <c r="Q17" s="149" t="s">
        <v>101</v>
      </c>
      <c r="R17" s="77" t="n">
        <f aca="false">SUM(R7:R16)</f>
        <v>994.08</v>
      </c>
      <c r="S17" s="77" t="n">
        <f aca="false">SUM(S7:S16)</f>
        <v>1192.896</v>
      </c>
      <c r="T17" s="77" t="n">
        <f aca="false">SUM(T7:T16)</f>
        <v>1466.268</v>
      </c>
      <c r="U17" s="77" t="n">
        <f aca="false">SUM(U7:U16)</f>
        <v>2614.743</v>
      </c>
      <c r="V17" s="77" t="n">
        <f aca="false">SUM(V7:V16)</f>
        <v>1059.29358333333</v>
      </c>
      <c r="W17" s="77" t="n">
        <f aca="false">SUM(W7:W16)</f>
        <v>0</v>
      </c>
      <c r="X17" s="77" t="n">
        <f aca="false">SUM(X7:X16)</f>
        <v>0</v>
      </c>
      <c r="Y17" s="77" t="n">
        <f aca="false">SUM(Y7:Y16)</f>
        <v>1090.90116666667</v>
      </c>
      <c r="Z17" s="77" t="n">
        <f aca="false">SUM(Z7:Z16)</f>
        <v>2948.56928604905</v>
      </c>
      <c r="AA17" s="77" t="n">
        <f aca="false">SUM(AA7:AA16)</f>
        <v>3538.28314325887</v>
      </c>
      <c r="AB17" s="77" t="n">
        <f aca="false">SUM(AB7:AB16)</f>
        <v>4349.13969692236</v>
      </c>
      <c r="AC17" s="77" t="n">
        <f aca="false">SUM(AC7:AC16)</f>
        <v>5823.42433994688</v>
      </c>
      <c r="AD17" s="77" t="n">
        <f aca="false">SUM(AD7:AD16)</f>
        <v>5300.66702289116</v>
      </c>
      <c r="AE17" s="77" t="n">
        <f aca="false">SUM(AE7:AE16)</f>
        <v>6089.19688010097</v>
      </c>
      <c r="AF17" s="77" t="n">
        <f aca="false">SUM(AF7:AF16)</f>
        <v>7173.42543376446</v>
      </c>
      <c r="AG17" s="77" t="n">
        <f aca="false">SUM(AG7:AG16)</f>
        <v>9796.18507678899</v>
      </c>
      <c r="AH17" s="39"/>
      <c r="AI17" s="74" t="s">
        <v>101</v>
      </c>
      <c r="AJ17" s="74"/>
      <c r="AK17" s="78" t="n">
        <f aca="false">SUM(AK7:AK16)</f>
        <v>6566.01730538882</v>
      </c>
      <c r="AL17" s="78" t="n">
        <f aca="false">SUM(AL7:AL16)</f>
        <v>7542.5647145829</v>
      </c>
      <c r="AM17" s="78" t="n">
        <f aca="false">SUM(AM7:AM16)</f>
        <v>8881.21612290884</v>
      </c>
      <c r="AN17" s="78" t="n">
        <f aca="false">SUM(AN7:AN16)</f>
        <v>12140.0547956704</v>
      </c>
      <c r="AO17" s="78" t="n">
        <f aca="false">SUM(AO7:AO16)</f>
        <v>11572.0794637071</v>
      </c>
      <c r="AP17" s="78" t="n">
        <f aca="false">SUM(AP7:AP16)</f>
        <v>34716.2383911214</v>
      </c>
      <c r="AQ17" s="78" t="n">
        <f aca="false">SUM(AQ7:AQ16)</f>
        <v>46288.3178548285</v>
      </c>
      <c r="AR17" s="69"/>
      <c r="AS17" s="69"/>
      <c r="AT17" s="69"/>
      <c r="AU17" s="69"/>
      <c r="AV17" s="69"/>
      <c r="AW17" s="69"/>
      <c r="AX17" s="29"/>
      <c r="AY17" s="29"/>
      <c r="AZ17" s="29"/>
      <c r="BA17" s="29"/>
      <c r="BB17" s="29"/>
      <c r="BC17" s="29"/>
      <c r="BD17" s="29"/>
      <c r="BE17" s="29"/>
      <c r="BF17" s="29"/>
      <c r="BG17" s="29"/>
      <c r="BH17" s="29"/>
      <c r="BI17" s="29"/>
      <c r="BJ17" s="29"/>
      <c r="BK17" s="29"/>
      <c r="BL17" s="29"/>
      <c r="BM17" s="29"/>
      <c r="BN17" s="29"/>
      <c r="BO17" s="147"/>
      <c r="BP17" s="147"/>
      <c r="BQ17" s="147"/>
      <c r="BR17" s="147"/>
      <c r="BS17" s="147"/>
      <c r="BT17" s="147"/>
      <c r="BU17" s="147"/>
      <c r="BV17" s="147"/>
      <c r="BW17" s="147"/>
      <c r="BX17" s="147"/>
      <c r="BY17" s="147"/>
      <c r="BZ17" s="147"/>
      <c r="CA17" s="147"/>
      <c r="CB17" s="147"/>
      <c r="CC17" s="147"/>
      <c r="CD17" s="147"/>
      <c r="CE17" s="147"/>
      <c r="CF17" s="147"/>
      <c r="CG17" s="147"/>
      <c r="CH17" s="147"/>
      <c r="CI17" s="147"/>
      <c r="CJ17" s="147"/>
      <c r="CK17" s="147"/>
      <c r="CL17" s="147"/>
      <c r="CM17" s="147"/>
      <c r="CN17" s="147"/>
      <c r="CO17" s="147"/>
      <c r="CP17" s="147"/>
      <c r="CQ17" s="147"/>
      <c r="CR17" s="147"/>
      <c r="CS17" s="147"/>
      <c r="CT17" s="147"/>
      <c r="CU17" s="147"/>
      <c r="CV17" s="147"/>
      <c r="CW17" s="147"/>
      <c r="CX17" s="147"/>
      <c r="CY17" s="147"/>
      <c r="CZ17" s="147"/>
      <c r="DA17" s="147"/>
      <c r="DB17" s="147"/>
      <c r="DC17" s="147"/>
      <c r="DD17" s="147"/>
      <c r="DE17" s="147"/>
      <c r="DF17" s="147"/>
      <c r="DG17" s="147"/>
      <c r="DH17" s="147"/>
      <c r="DI17" s="147"/>
      <c r="DJ17" s="147"/>
      <c r="DK17" s="147"/>
      <c r="DL17" s="147"/>
      <c r="DM17" s="147"/>
      <c r="DN17" s="147"/>
      <c r="DO17" s="147"/>
      <c r="DP17" s="147"/>
      <c r="DQ17" s="147"/>
      <c r="DR17" s="147"/>
      <c r="DS17" s="147"/>
      <c r="DT17" s="147"/>
      <c r="DU17" s="147"/>
      <c r="DV17" s="147"/>
      <c r="DW17" s="147"/>
      <c r="DX17" s="147"/>
      <c r="DY17" s="147"/>
      <c r="DZ17" s="147"/>
      <c r="EA17" s="147"/>
      <c r="EB17" s="147"/>
      <c r="EC17" s="147"/>
      <c r="ED17" s="147"/>
      <c r="EE17" s="147"/>
      <c r="EF17" s="147"/>
      <c r="EG17" s="147"/>
      <c r="EH17" s="147"/>
      <c r="EI17" s="147"/>
      <c r="EJ17" s="147"/>
      <c r="EK17" s="147"/>
      <c r="EL17" s="147"/>
      <c r="EM17" s="147"/>
      <c r="EN17" s="147"/>
      <c r="EO17" s="147"/>
      <c r="EP17" s="147"/>
      <c r="EQ17" s="147"/>
      <c r="ER17" s="147"/>
      <c r="ES17" s="147"/>
      <c r="ET17" s="147"/>
      <c r="EU17" s="147"/>
      <c r="EV17" s="147"/>
      <c r="EW17" s="147"/>
      <c r="EX17" s="147"/>
      <c r="EY17" s="147"/>
      <c r="EZ17" s="147"/>
      <c r="FA17" s="147"/>
      <c r="FB17" s="147"/>
      <c r="FC17" s="147"/>
      <c r="FD17" s="147"/>
      <c r="FE17" s="147"/>
      <c r="FF17" s="147"/>
      <c r="FG17" s="147"/>
      <c r="FH17" s="147"/>
      <c r="FI17" s="147"/>
      <c r="FJ17" s="147"/>
      <c r="FK17" s="147"/>
      <c r="FL17" s="147"/>
      <c r="FM17" s="147"/>
      <c r="FN17" s="147"/>
      <c r="FO17" s="147"/>
      <c r="FP17" s="147"/>
      <c r="FQ17" s="147"/>
      <c r="FR17" s="147"/>
      <c r="FS17" s="147"/>
      <c r="FT17" s="147"/>
      <c r="FU17" s="147"/>
      <c r="FV17" s="147"/>
      <c r="FW17" s="147"/>
      <c r="FX17" s="147"/>
      <c r="FY17" s="147"/>
      <c r="FZ17" s="147"/>
      <c r="GA17" s="147"/>
      <c r="GB17" s="147"/>
      <c r="GC17" s="147"/>
      <c r="GD17" s="147"/>
      <c r="GE17" s="147"/>
      <c r="GF17" s="147"/>
      <c r="GG17" s="147"/>
      <c r="GH17" s="147"/>
      <c r="GI17" s="147"/>
      <c r="GJ17" s="147"/>
      <c r="GK17" s="147"/>
      <c r="GL17" s="147"/>
      <c r="GM17" s="147"/>
      <c r="GN17" s="147"/>
      <c r="GO17" s="147"/>
      <c r="GP17" s="147"/>
      <c r="GQ17" s="147"/>
      <c r="GR17" s="147"/>
      <c r="GS17" s="147"/>
      <c r="GT17" s="147"/>
      <c r="GU17" s="147"/>
      <c r="GV17" s="147"/>
      <c r="GW17" s="147"/>
      <c r="GX17" s="147"/>
      <c r="GY17" s="147"/>
      <c r="GZ17" s="147"/>
      <c r="HA17" s="147"/>
      <c r="HB17" s="147"/>
      <c r="HC17" s="147"/>
      <c r="HD17" s="147"/>
      <c r="HE17" s="147"/>
      <c r="HF17" s="147"/>
      <c r="HG17" s="147"/>
      <c r="HH17" s="147"/>
      <c r="HI17" s="147"/>
      <c r="HJ17" s="147"/>
      <c r="HK17" s="147"/>
      <c r="HL17" s="147"/>
      <c r="HM17" s="147"/>
      <c r="HN17" s="147"/>
      <c r="HO17" s="147"/>
      <c r="HP17" s="147"/>
      <c r="HQ17" s="147"/>
      <c r="HR17" s="147"/>
      <c r="HS17" s="147"/>
      <c r="HT17" s="147"/>
      <c r="HU17" s="147"/>
      <c r="HV17" s="147"/>
      <c r="HW17" s="147"/>
      <c r="HX17" s="147"/>
      <c r="HY17" s="147"/>
      <c r="HZ17" s="147"/>
      <c r="IA17" s="147"/>
      <c r="IB17" s="147"/>
      <c r="IC17" s="147"/>
      <c r="ID17" s="147"/>
      <c r="IE17" s="147"/>
      <c r="IF17" s="147"/>
      <c r="IG17" s="147"/>
      <c r="IH17" s="147"/>
      <c r="II17" s="147"/>
      <c r="IJ17" s="147"/>
      <c r="IK17" s="147"/>
      <c r="IL17" s="147"/>
      <c r="IM17" s="147"/>
      <c r="IN17" s="147"/>
      <c r="IO17" s="147"/>
      <c r="IP17" s="147"/>
      <c r="IQ17" s="147"/>
      <c r="IR17" s="147"/>
      <c r="IS17" s="147"/>
      <c r="IT17" s="147"/>
      <c r="IU17" s="147"/>
      <c r="IV17" s="147"/>
      <c r="IW17" s="147"/>
      <c r="IX17" s="147"/>
      <c r="IY17" s="147"/>
      <c r="IZ17" s="147"/>
      <c r="JA17" s="147"/>
      <c r="JB17" s="147"/>
      <c r="JC17" s="147"/>
      <c r="JD17" s="147"/>
      <c r="JE17" s="147"/>
      <c r="JF17" s="147"/>
      <c r="JG17" s="147"/>
      <c r="JH17" s="147"/>
      <c r="JI17" s="147"/>
      <c r="JJ17" s="147"/>
      <c r="JK17" s="147"/>
      <c r="JL17" s="147"/>
      <c r="JM17" s="147"/>
      <c r="JN17" s="147"/>
      <c r="JO17" s="147"/>
      <c r="JP17" s="147"/>
      <c r="JQ17" s="147"/>
      <c r="JR17" s="147"/>
      <c r="JS17" s="147"/>
      <c r="JT17" s="147"/>
      <c r="JU17" s="147"/>
      <c r="JV17" s="147"/>
      <c r="JW17" s="147"/>
      <c r="JX17" s="147"/>
      <c r="JY17" s="147"/>
      <c r="JZ17" s="147"/>
      <c r="KA17" s="147"/>
      <c r="KB17" s="147"/>
      <c r="KC17" s="147"/>
      <c r="KD17" s="147"/>
      <c r="KE17" s="147"/>
      <c r="KF17" s="147"/>
      <c r="KG17" s="147"/>
      <c r="KH17" s="147"/>
      <c r="KI17" s="147"/>
      <c r="KJ17" s="147"/>
      <c r="KK17" s="147"/>
      <c r="KL17" s="147"/>
      <c r="KM17" s="147"/>
      <c r="KN17" s="147"/>
      <c r="KO17" s="147"/>
      <c r="KP17" s="147"/>
      <c r="KQ17" s="147"/>
      <c r="KR17" s="147"/>
      <c r="KS17" s="147"/>
      <c r="KT17" s="147"/>
      <c r="KU17" s="147"/>
      <c r="KV17" s="147"/>
      <c r="KW17" s="147"/>
      <c r="KX17" s="147"/>
      <c r="KY17" s="147"/>
      <c r="KZ17" s="147"/>
      <c r="LA17" s="147"/>
      <c r="LB17" s="147"/>
      <c r="LC17" s="147"/>
      <c r="LD17" s="147"/>
      <c r="LE17" s="147"/>
      <c r="LF17" s="147"/>
      <c r="LG17" s="147"/>
      <c r="LH17" s="147"/>
      <c r="LI17" s="147"/>
      <c r="LJ17" s="147"/>
      <c r="LK17" s="147"/>
      <c r="LL17" s="147"/>
      <c r="LM17" s="147"/>
      <c r="LN17" s="147"/>
      <c r="LO17" s="147"/>
      <c r="LP17" s="147"/>
      <c r="LQ17" s="147"/>
      <c r="LR17" s="147"/>
      <c r="LS17" s="147"/>
      <c r="LT17" s="147"/>
      <c r="LU17" s="147"/>
      <c r="LV17" s="147"/>
      <c r="LW17" s="147"/>
      <c r="LX17" s="147"/>
      <c r="LY17" s="147"/>
      <c r="LZ17" s="147"/>
      <c r="MA17" s="147"/>
      <c r="MB17" s="147"/>
      <c r="MC17" s="147"/>
      <c r="MD17" s="147"/>
      <c r="ME17" s="147"/>
      <c r="MF17" s="147"/>
      <c r="MG17" s="147"/>
      <c r="MH17" s="147"/>
      <c r="MI17" s="147"/>
      <c r="MJ17" s="147"/>
      <c r="MK17" s="147"/>
      <c r="ML17" s="147"/>
      <c r="MM17" s="147"/>
      <c r="MN17" s="147"/>
      <c r="MO17" s="147"/>
      <c r="MP17" s="147"/>
      <c r="MQ17" s="147"/>
      <c r="MR17" s="147"/>
      <c r="MS17" s="147"/>
      <c r="MT17" s="147"/>
      <c r="MU17" s="147"/>
      <c r="MV17" s="147"/>
      <c r="MW17" s="147"/>
      <c r="MX17" s="147"/>
      <c r="MY17" s="147"/>
      <c r="MZ17" s="147"/>
      <c r="NA17" s="147"/>
      <c r="NB17" s="147"/>
      <c r="NC17" s="147"/>
      <c r="ND17" s="147"/>
      <c r="NE17" s="147"/>
      <c r="NF17" s="147"/>
      <c r="NG17" s="147"/>
      <c r="NH17" s="147"/>
      <c r="NI17" s="147"/>
      <c r="NJ17" s="147"/>
      <c r="NK17" s="147"/>
      <c r="NL17" s="147"/>
      <c r="NM17" s="147"/>
      <c r="NN17" s="147"/>
      <c r="NO17" s="147"/>
      <c r="NP17" s="147"/>
      <c r="NQ17" s="147"/>
      <c r="NR17" s="147"/>
      <c r="NS17" s="147"/>
      <c r="NT17" s="147"/>
      <c r="NU17" s="147"/>
      <c r="NV17" s="147"/>
      <c r="NW17" s="147"/>
      <c r="NX17" s="147"/>
      <c r="NY17" s="147"/>
      <c r="NZ17" s="147"/>
      <c r="OA17" s="147"/>
      <c r="OB17" s="147"/>
      <c r="OC17" s="147"/>
      <c r="OD17" s="147"/>
      <c r="OE17" s="147"/>
      <c r="OF17" s="147"/>
      <c r="OG17" s="147"/>
      <c r="OH17" s="147"/>
      <c r="OI17" s="147"/>
      <c r="OJ17" s="147"/>
      <c r="OK17" s="147"/>
      <c r="OL17" s="147"/>
      <c r="OM17" s="147"/>
      <c r="ON17" s="147"/>
      <c r="OO17" s="147"/>
      <c r="OP17" s="147"/>
      <c r="OQ17" s="147"/>
      <c r="OR17" s="147"/>
      <c r="OS17" s="147"/>
      <c r="OT17" s="147"/>
      <c r="OU17" s="147"/>
      <c r="OV17" s="147"/>
      <c r="OW17" s="147"/>
      <c r="OX17" s="147"/>
      <c r="OY17" s="147"/>
      <c r="OZ17" s="147"/>
      <c r="PA17" s="147"/>
      <c r="PB17" s="147"/>
      <c r="PC17" s="147"/>
      <c r="PD17" s="147"/>
      <c r="PE17" s="147"/>
      <c r="PF17" s="147"/>
      <c r="PG17" s="147"/>
      <c r="PH17" s="147"/>
      <c r="PI17" s="147"/>
      <c r="PJ17" s="147"/>
      <c r="PK17" s="147"/>
      <c r="PL17" s="147"/>
      <c r="PM17" s="147"/>
      <c r="PN17" s="147"/>
      <c r="PO17" s="147"/>
      <c r="PP17" s="147"/>
      <c r="PQ17" s="147"/>
      <c r="PR17" s="147"/>
      <c r="PS17" s="147"/>
      <c r="PT17" s="147"/>
      <c r="PU17" s="147"/>
      <c r="PV17" s="147"/>
      <c r="PW17" s="147"/>
      <c r="PX17" s="147"/>
      <c r="PY17" s="147"/>
      <c r="PZ17" s="147"/>
      <c r="QA17" s="147"/>
      <c r="QB17" s="147"/>
      <c r="QC17" s="147"/>
      <c r="QD17" s="147"/>
      <c r="QE17" s="147"/>
      <c r="QF17" s="147"/>
      <c r="QG17" s="147"/>
      <c r="QH17" s="147"/>
      <c r="QI17" s="147"/>
      <c r="QJ17" s="147"/>
      <c r="QK17" s="147"/>
      <c r="QL17" s="147"/>
      <c r="QM17" s="147"/>
      <c r="QN17" s="147"/>
      <c r="QO17" s="147"/>
      <c r="QP17" s="147"/>
      <c r="QQ17" s="147"/>
      <c r="QR17" s="147"/>
      <c r="QS17" s="147"/>
      <c r="QT17" s="147"/>
      <c r="QU17" s="147"/>
      <c r="QV17" s="147"/>
      <c r="QW17" s="147"/>
      <c r="QX17" s="147"/>
      <c r="QY17" s="147"/>
      <c r="QZ17" s="147"/>
      <c r="RA17" s="147"/>
      <c r="RB17" s="147"/>
      <c r="RC17" s="147"/>
      <c r="RD17" s="147"/>
      <c r="RE17" s="147"/>
      <c r="RF17" s="147"/>
      <c r="RG17" s="147"/>
      <c r="RH17" s="147"/>
      <c r="RI17" s="147"/>
      <c r="RJ17" s="147"/>
      <c r="RK17" s="147"/>
      <c r="RL17" s="147"/>
      <c r="RM17" s="147"/>
      <c r="RN17" s="147"/>
      <c r="RO17" s="147"/>
      <c r="RP17" s="147"/>
      <c r="RQ17" s="147"/>
      <c r="RR17" s="147"/>
      <c r="RS17" s="147"/>
      <c r="RT17" s="147"/>
      <c r="RU17" s="147"/>
      <c r="RV17" s="147"/>
      <c r="RW17" s="147"/>
      <c r="RX17" s="147"/>
      <c r="RY17" s="147"/>
      <c r="RZ17" s="147"/>
      <c r="SA17" s="147"/>
      <c r="SB17" s="147"/>
      <c r="SC17" s="147"/>
      <c r="SD17" s="147"/>
      <c r="SE17" s="147"/>
      <c r="SF17" s="147"/>
      <c r="SG17" s="147"/>
      <c r="SH17" s="147"/>
      <c r="SI17" s="147"/>
      <c r="SJ17" s="147"/>
      <c r="SK17" s="147"/>
      <c r="SL17" s="147"/>
      <c r="SM17" s="147"/>
      <c r="SN17" s="147"/>
      <c r="SO17" s="147"/>
      <c r="SP17" s="147"/>
      <c r="SQ17" s="147"/>
      <c r="SR17" s="147"/>
      <c r="SS17" s="147"/>
      <c r="ST17" s="147"/>
      <c r="SU17" s="147"/>
      <c r="SV17" s="147"/>
      <c r="SW17" s="147"/>
      <c r="SX17" s="147"/>
      <c r="SY17" s="147"/>
      <c r="SZ17" s="147"/>
      <c r="TA17" s="147"/>
      <c r="TB17" s="147"/>
      <c r="TC17" s="147"/>
      <c r="TD17" s="147"/>
      <c r="TE17" s="147"/>
      <c r="TF17" s="147"/>
      <c r="TG17" s="147"/>
      <c r="TH17" s="147"/>
      <c r="TI17" s="147"/>
      <c r="TJ17" s="147"/>
      <c r="TK17" s="147"/>
      <c r="TL17" s="147"/>
      <c r="TM17" s="147"/>
      <c r="TN17" s="147"/>
      <c r="TO17" s="147"/>
      <c r="TP17" s="147"/>
      <c r="TQ17" s="147"/>
      <c r="TR17" s="147"/>
      <c r="TS17" s="147"/>
      <c r="TT17" s="147"/>
      <c r="TU17" s="147"/>
      <c r="TV17" s="147"/>
      <c r="TW17" s="147"/>
      <c r="TX17" s="147"/>
      <c r="TY17" s="147"/>
      <c r="TZ17" s="147"/>
      <c r="UA17" s="147"/>
      <c r="UB17" s="147"/>
      <c r="UC17" s="147"/>
      <c r="UD17" s="147"/>
      <c r="UE17" s="147"/>
      <c r="UF17" s="147"/>
      <c r="UG17" s="147"/>
      <c r="UH17" s="147"/>
      <c r="UI17" s="147"/>
      <c r="UJ17" s="147"/>
      <c r="UK17" s="147"/>
      <c r="UL17" s="147"/>
      <c r="UM17" s="147"/>
      <c r="UN17" s="147"/>
      <c r="UO17" s="147"/>
      <c r="UP17" s="147"/>
      <c r="UQ17" s="147"/>
      <c r="UR17" s="147"/>
      <c r="US17" s="147"/>
      <c r="UT17" s="147"/>
      <c r="UU17" s="147"/>
      <c r="UV17" s="147"/>
      <c r="UW17" s="147"/>
      <c r="UX17" s="147"/>
      <c r="UY17" s="147"/>
      <c r="UZ17" s="147"/>
      <c r="VA17" s="147"/>
      <c r="VB17" s="147"/>
      <c r="VC17" s="147"/>
      <c r="VD17" s="147"/>
      <c r="VE17" s="147"/>
      <c r="VF17" s="147"/>
      <c r="VG17" s="147"/>
      <c r="VH17" s="147"/>
      <c r="VI17" s="147"/>
      <c r="VJ17" s="147"/>
      <c r="VK17" s="147"/>
      <c r="VL17" s="147"/>
      <c r="VM17" s="147"/>
      <c r="VN17" s="147"/>
      <c r="VO17" s="147"/>
      <c r="VP17" s="147"/>
      <c r="VQ17" s="147"/>
      <c r="VR17" s="147"/>
      <c r="VS17" s="147"/>
      <c r="VT17" s="147"/>
      <c r="VU17" s="147"/>
      <c r="VV17" s="147"/>
      <c r="VW17" s="147"/>
      <c r="VX17" s="147"/>
      <c r="VY17" s="147"/>
      <c r="VZ17" s="147"/>
      <c r="WA17" s="147"/>
      <c r="WB17" s="147"/>
      <c r="WC17" s="147"/>
      <c r="WD17" s="147"/>
      <c r="WE17" s="147"/>
      <c r="WF17" s="147"/>
      <c r="WG17" s="147"/>
      <c r="WH17" s="147"/>
      <c r="WI17" s="147"/>
      <c r="WJ17" s="147"/>
      <c r="WK17" s="147"/>
      <c r="WL17" s="147"/>
      <c r="WM17" s="147"/>
      <c r="WN17" s="147"/>
      <c r="WO17" s="147"/>
      <c r="WP17" s="147"/>
      <c r="WQ17" s="147"/>
      <c r="WR17" s="147"/>
      <c r="WS17" s="147"/>
      <c r="WT17" s="147"/>
      <c r="WU17" s="147"/>
      <c r="WV17" s="147"/>
      <c r="WW17" s="147"/>
      <c r="WX17" s="147"/>
      <c r="WY17" s="147"/>
      <c r="WZ17" s="147"/>
      <c r="XA17" s="147"/>
      <c r="XB17" s="147"/>
      <c r="XC17" s="147"/>
      <c r="XD17" s="147"/>
      <c r="XE17" s="147"/>
      <c r="XF17" s="147"/>
      <c r="XG17" s="147"/>
      <c r="XH17" s="147"/>
      <c r="XI17" s="147"/>
      <c r="XJ17" s="147"/>
      <c r="XK17" s="147"/>
      <c r="XL17" s="147"/>
      <c r="XM17" s="147"/>
      <c r="XN17" s="147"/>
      <c r="XO17" s="147"/>
      <c r="XP17" s="147"/>
      <c r="XQ17" s="147"/>
      <c r="XR17" s="147"/>
      <c r="XS17" s="147"/>
      <c r="XT17" s="147"/>
      <c r="XU17" s="147"/>
      <c r="XV17" s="147"/>
      <c r="XW17" s="147"/>
      <c r="XX17" s="147"/>
      <c r="XY17" s="147"/>
      <c r="XZ17" s="147"/>
      <c r="YA17" s="147"/>
      <c r="YB17" s="147"/>
      <c r="YC17" s="147"/>
      <c r="YD17" s="147"/>
      <c r="YE17" s="147"/>
      <c r="YF17" s="147"/>
      <c r="YG17" s="147"/>
      <c r="YH17" s="147"/>
      <c r="YI17" s="147"/>
      <c r="YJ17" s="147"/>
      <c r="YK17" s="147"/>
      <c r="YL17" s="147"/>
      <c r="YM17" s="147"/>
      <c r="YN17" s="147"/>
      <c r="YO17" s="147"/>
      <c r="YP17" s="147"/>
      <c r="YQ17" s="147"/>
      <c r="YR17" s="147"/>
      <c r="YS17" s="147"/>
      <c r="YT17" s="147"/>
      <c r="YU17" s="147"/>
      <c r="YV17" s="147"/>
      <c r="YW17" s="147"/>
      <c r="YX17" s="147"/>
      <c r="YY17" s="147"/>
      <c r="YZ17" s="147"/>
      <c r="ZA17" s="147"/>
      <c r="ZB17" s="147"/>
      <c r="ZC17" s="147"/>
      <c r="ZD17" s="147"/>
      <c r="ZE17" s="147"/>
      <c r="ZF17" s="147"/>
      <c r="ZG17" s="147"/>
      <c r="ZH17" s="147"/>
      <c r="ZI17" s="147"/>
      <c r="ZJ17" s="147"/>
      <c r="ZK17" s="147"/>
      <c r="ZL17" s="147"/>
      <c r="ZM17" s="147"/>
      <c r="ZN17" s="147"/>
      <c r="ZO17" s="147"/>
      <c r="ZP17" s="147"/>
      <c r="ZQ17" s="147"/>
      <c r="ZR17" s="147"/>
      <c r="ZS17" s="147"/>
      <c r="ZT17" s="147"/>
      <c r="ZU17" s="147"/>
      <c r="ZV17" s="147"/>
      <c r="ZW17" s="147"/>
      <c r="ZX17" s="147"/>
      <c r="ZY17" s="147"/>
      <c r="ZZ17" s="147"/>
      <c r="AAA17" s="147"/>
      <c r="AAB17" s="147"/>
      <c r="AAC17" s="147"/>
      <c r="AAD17" s="147"/>
      <c r="AAE17" s="147"/>
      <c r="AAF17" s="147"/>
      <c r="AAG17" s="147"/>
      <c r="AAH17" s="147"/>
      <c r="AAI17" s="147"/>
      <c r="AAJ17" s="147"/>
      <c r="AAK17" s="147"/>
      <c r="AAL17" s="147"/>
      <c r="AAM17" s="147"/>
      <c r="AAN17" s="147"/>
      <c r="AAO17" s="147"/>
      <c r="AAP17" s="147"/>
      <c r="AAQ17" s="147"/>
      <c r="AAR17" s="147"/>
      <c r="AAS17" s="147"/>
      <c r="AAT17" s="147"/>
      <c r="AAU17" s="147"/>
      <c r="AAV17" s="147"/>
      <c r="AAW17" s="147"/>
      <c r="AAX17" s="147"/>
      <c r="AAY17" s="147"/>
      <c r="AAZ17" s="147"/>
      <c r="ABA17" s="147"/>
      <c r="ABB17" s="147"/>
      <c r="ABC17" s="147"/>
      <c r="ABD17" s="147"/>
      <c r="ABE17" s="147"/>
      <c r="ABF17" s="147"/>
      <c r="ABG17" s="147"/>
      <c r="ABH17" s="147"/>
      <c r="ABI17" s="147"/>
      <c r="ABJ17" s="147"/>
      <c r="ABK17" s="147"/>
      <c r="ABL17" s="147"/>
      <c r="ABM17" s="147"/>
      <c r="ABN17" s="147"/>
      <c r="ABO17" s="147"/>
      <c r="ABP17" s="147"/>
      <c r="ABQ17" s="147"/>
      <c r="ABR17" s="147"/>
      <c r="ABS17" s="147"/>
      <c r="ABT17" s="147"/>
      <c r="ABU17" s="147"/>
      <c r="ABV17" s="147"/>
      <c r="ABW17" s="147"/>
      <c r="ABX17" s="147"/>
      <c r="ABY17" s="147"/>
      <c r="ABZ17" s="147"/>
      <c r="ACA17" s="147"/>
      <c r="ACB17" s="147"/>
      <c r="ACC17" s="147"/>
      <c r="ACD17" s="147"/>
      <c r="ACE17" s="147"/>
      <c r="ACF17" s="147"/>
      <c r="ACG17" s="147"/>
      <c r="ACH17" s="147"/>
      <c r="ACI17" s="147"/>
      <c r="ACJ17" s="147"/>
      <c r="ACK17" s="147"/>
      <c r="ACL17" s="147"/>
      <c r="ACM17" s="147"/>
      <c r="ACN17" s="147"/>
      <c r="ACO17" s="147"/>
      <c r="ACP17" s="147"/>
      <c r="ACQ17" s="147"/>
      <c r="ACR17" s="147"/>
      <c r="ACS17" s="147"/>
      <c r="ACT17" s="147"/>
      <c r="ACU17" s="147"/>
      <c r="ACV17" s="147"/>
      <c r="ACW17" s="147"/>
      <c r="ACX17" s="147"/>
      <c r="ACY17" s="147"/>
      <c r="ACZ17" s="147"/>
      <c r="ADA17" s="147"/>
      <c r="ADB17" s="147"/>
      <c r="ADC17" s="147"/>
      <c r="ADD17" s="147"/>
      <c r="ADE17" s="147"/>
      <c r="ADF17" s="147"/>
      <c r="ADG17" s="147"/>
      <c r="ADH17" s="147"/>
      <c r="ADI17" s="147"/>
      <c r="ADJ17" s="147"/>
      <c r="ADK17" s="147"/>
      <c r="ADL17" s="147"/>
      <c r="ADM17" s="147"/>
      <c r="ADN17" s="147"/>
      <c r="ADO17" s="147"/>
      <c r="ADP17" s="147"/>
      <c r="ADQ17" s="147"/>
      <c r="ADR17" s="147"/>
      <c r="ADS17" s="147"/>
      <c r="ADT17" s="147"/>
      <c r="ADU17" s="147"/>
      <c r="ADV17" s="147"/>
      <c r="ADW17" s="147"/>
      <c r="ADX17" s="147"/>
      <c r="ADY17" s="147"/>
      <c r="ADZ17" s="147"/>
      <c r="AEA17" s="147"/>
      <c r="AEB17" s="147"/>
      <c r="AEC17" s="147"/>
      <c r="AED17" s="147"/>
      <c r="AEE17" s="147"/>
      <c r="AEF17" s="147"/>
      <c r="AEG17" s="147"/>
      <c r="AEH17" s="147"/>
      <c r="AEI17" s="147"/>
      <c r="AEJ17" s="147"/>
      <c r="AEK17" s="147"/>
      <c r="AEL17" s="147"/>
      <c r="AEM17" s="147"/>
      <c r="AEN17" s="147"/>
      <c r="AEO17" s="147"/>
      <c r="AEP17" s="147"/>
      <c r="AEQ17" s="147"/>
      <c r="AER17" s="147"/>
      <c r="AES17" s="147"/>
      <c r="AET17" s="147"/>
      <c r="AEU17" s="147"/>
      <c r="AEV17" s="147"/>
      <c r="AEW17" s="147"/>
      <c r="AEX17" s="147"/>
      <c r="AEY17" s="147"/>
      <c r="AEZ17" s="147"/>
      <c r="AFA17" s="147"/>
      <c r="AFB17" s="147"/>
      <c r="AFC17" s="147"/>
      <c r="AFD17" s="147"/>
      <c r="AFE17" s="147"/>
      <c r="AFF17" s="147"/>
      <c r="AFG17" s="147"/>
      <c r="AFH17" s="147"/>
      <c r="AFI17" s="147"/>
      <c r="AFJ17" s="147"/>
      <c r="AFK17" s="147"/>
      <c r="AFL17" s="147"/>
      <c r="AFM17" s="147"/>
      <c r="AFN17" s="147"/>
      <c r="AFO17" s="147"/>
      <c r="AFP17" s="147"/>
      <c r="AFQ17" s="147"/>
      <c r="AFR17" s="147"/>
      <c r="AFS17" s="147"/>
      <c r="AFT17" s="147"/>
      <c r="AFU17" s="147"/>
      <c r="AFV17" s="147"/>
      <c r="AFW17" s="147"/>
      <c r="AFX17" s="147"/>
      <c r="AFY17" s="147"/>
      <c r="AFZ17" s="147"/>
      <c r="AGA17" s="147"/>
      <c r="AGB17" s="147"/>
      <c r="AGC17" s="147"/>
      <c r="AGD17" s="147"/>
      <c r="AGE17" s="147"/>
      <c r="AGF17" s="147"/>
      <c r="AGG17" s="147"/>
      <c r="AGH17" s="147"/>
      <c r="AGI17" s="147"/>
      <c r="AGJ17" s="147"/>
      <c r="AGK17" s="147"/>
      <c r="AGL17" s="147"/>
      <c r="AGM17" s="147"/>
      <c r="AGN17" s="147"/>
      <c r="AGO17" s="147"/>
      <c r="AGP17" s="147"/>
      <c r="AGQ17" s="147"/>
      <c r="AGR17" s="147"/>
      <c r="AGS17" s="147"/>
      <c r="AGT17" s="147"/>
      <c r="AGU17" s="147"/>
      <c r="AGV17" s="147"/>
      <c r="AGW17" s="147"/>
      <c r="AGX17" s="147"/>
      <c r="AGY17" s="147"/>
      <c r="AGZ17" s="147"/>
      <c r="AHA17" s="147"/>
      <c r="AHB17" s="147"/>
      <c r="AHC17" s="147"/>
      <c r="AHD17" s="147"/>
      <c r="AHE17" s="147"/>
      <c r="AHF17" s="147"/>
      <c r="AHG17" s="147"/>
      <c r="AHH17" s="147"/>
      <c r="AHI17" s="147"/>
      <c r="AHJ17" s="147"/>
      <c r="AHK17" s="147"/>
      <c r="AHL17" s="147"/>
      <c r="AHM17" s="147"/>
      <c r="AHN17" s="147"/>
      <c r="AHO17" s="147"/>
      <c r="AHP17" s="147"/>
      <c r="AHQ17" s="147"/>
      <c r="AHR17" s="147"/>
      <c r="AHS17" s="147"/>
      <c r="AHT17" s="147"/>
      <c r="AHU17" s="147"/>
      <c r="AHV17" s="147"/>
      <c r="AHW17" s="147"/>
      <c r="AHX17" s="147"/>
      <c r="AHY17" s="147"/>
      <c r="AHZ17" s="147"/>
      <c r="AIA17" s="147"/>
      <c r="AIB17" s="147"/>
      <c r="AIC17" s="147"/>
      <c r="AID17" s="147"/>
      <c r="AIE17" s="147"/>
      <c r="AIF17" s="147"/>
      <c r="AIG17" s="147"/>
      <c r="AIH17" s="147"/>
      <c r="AII17" s="147"/>
      <c r="AIJ17" s="147"/>
      <c r="AIK17" s="147"/>
      <c r="AIL17" s="147"/>
      <c r="AIM17" s="147"/>
      <c r="AIN17" s="147"/>
      <c r="AIO17" s="147"/>
      <c r="AIP17" s="147"/>
      <c r="AIQ17" s="147"/>
      <c r="AIR17" s="147"/>
      <c r="AIS17" s="147"/>
      <c r="AIT17" s="147"/>
      <c r="AIU17" s="147"/>
      <c r="AIV17" s="147"/>
      <c r="AIW17" s="147"/>
      <c r="AIX17" s="147"/>
      <c r="AIY17" s="147"/>
      <c r="AIZ17" s="147"/>
      <c r="AJA17" s="147"/>
      <c r="AJB17" s="147"/>
      <c r="AJC17" s="147"/>
      <c r="AJD17" s="147"/>
      <c r="AJE17" s="147"/>
      <c r="AJF17" s="147"/>
      <c r="AJG17" s="147"/>
      <c r="AJH17" s="147"/>
      <c r="AJI17" s="147"/>
      <c r="AJJ17" s="147"/>
      <c r="AJK17" s="147"/>
      <c r="AJL17" s="147"/>
      <c r="AJM17" s="147"/>
      <c r="AJN17" s="147"/>
      <c r="AJO17" s="147"/>
      <c r="AJP17" s="147"/>
      <c r="AJQ17" s="147"/>
      <c r="AJR17" s="147"/>
      <c r="AJS17" s="147"/>
      <c r="AJT17" s="147"/>
      <c r="AJU17" s="147"/>
      <c r="AJV17" s="147"/>
      <c r="AJW17" s="147"/>
      <c r="AJX17" s="147"/>
      <c r="AJY17" s="147"/>
      <c r="AJZ17" s="147"/>
      <c r="AKA17" s="147"/>
      <c r="AKB17" s="147"/>
      <c r="AKC17" s="147"/>
      <c r="AKD17" s="147"/>
      <c r="AKE17" s="147"/>
      <c r="AKF17" s="147"/>
      <c r="AKG17" s="147"/>
      <c r="AKH17" s="147"/>
      <c r="AKI17" s="147"/>
      <c r="AKJ17" s="147"/>
      <c r="AKK17" s="147"/>
      <c r="AKL17" s="147"/>
      <c r="AKM17" s="147"/>
      <c r="AKN17" s="147"/>
      <c r="AKO17" s="147"/>
      <c r="AKP17" s="147"/>
      <c r="AKQ17" s="147"/>
      <c r="AKR17" s="147"/>
      <c r="AKS17" s="147"/>
      <c r="AKT17" s="147"/>
      <c r="AKU17" s="147"/>
      <c r="AKV17" s="147"/>
      <c r="AKW17" s="147"/>
      <c r="AKX17" s="147"/>
      <c r="AKY17" s="147"/>
      <c r="AKZ17" s="147"/>
      <c r="ALA17" s="147"/>
      <c r="ALB17" s="147"/>
      <c r="ALC17" s="147"/>
      <c r="ALD17" s="147"/>
      <c r="ALE17" s="147"/>
      <c r="ALF17" s="147"/>
      <c r="ALG17" s="147"/>
      <c r="ALH17" s="147"/>
      <c r="ALI17" s="147"/>
      <c r="ALJ17" s="147"/>
      <c r="ALK17" s="147"/>
      <c r="ALL17" s="147"/>
      <c r="ALM17" s="147"/>
      <c r="ALN17" s="147"/>
      <c r="ALO17" s="147"/>
      <c r="ALP17" s="147"/>
      <c r="ALQ17" s="147"/>
      <c r="ALR17" s="147"/>
      <c r="ALS17" s="147"/>
      <c r="ALT17" s="147"/>
      <c r="ALU17" s="147"/>
      <c r="ALV17" s="147"/>
      <c r="ALW17" s="147"/>
      <c r="ALX17" s="147"/>
    </row>
    <row r="18" customFormat="false" ht="18" hidden="false" customHeight="true" outlineLevel="0" collapsed="false">
      <c r="B18" s="2"/>
      <c r="C18" s="2"/>
      <c r="D18" s="2"/>
      <c r="E18" s="2"/>
      <c r="F18" s="2"/>
      <c r="G18" s="2"/>
      <c r="H18" s="79"/>
      <c r="I18" s="2"/>
      <c r="J18" s="2"/>
      <c r="O18" s="2"/>
      <c r="R18" s="80"/>
      <c r="S18" s="80"/>
      <c r="T18" s="80"/>
      <c r="U18" s="80"/>
      <c r="V18" s="80"/>
      <c r="W18" s="80"/>
      <c r="X18" s="80"/>
      <c r="Y18" s="80"/>
      <c r="Z18" s="80"/>
      <c r="AA18" s="80"/>
      <c r="AB18" s="80"/>
      <c r="AD18" s="56"/>
      <c r="AE18" s="56"/>
      <c r="AF18" s="56"/>
      <c r="AG18" s="56"/>
      <c r="AH18" s="56"/>
      <c r="AS18" s="150"/>
      <c r="AT18" s="150"/>
      <c r="AU18" s="150"/>
      <c r="AV18" s="150"/>
      <c r="AW18" s="150"/>
    </row>
    <row r="19" customFormat="false" ht="39.75" hidden="false" customHeight="true" outlineLevel="0" collapsed="false">
      <c r="B19" s="47" t="s">
        <v>30</v>
      </c>
      <c r="C19" s="81" t="str">
        <f aca="false">'Base Chapecó'!C23</f>
        <v>Oficial de Manutenção Predial</v>
      </c>
      <c r="D19" s="81" t="str">
        <f aca="false">'Base Chapecó'!D23</f>
        <v>Ajudante (ref. SINAPI/88241)</v>
      </c>
      <c r="E19" s="151" t="str">
        <f aca="false">'Base Chapecó'!E23</f>
        <v>Eletrotécnico (ref. SINAPI/88266)</v>
      </c>
      <c r="N19" s="152"/>
      <c r="O19" s="153"/>
      <c r="R19" s="82"/>
      <c r="V19" s="153"/>
      <c r="Z19" s="82"/>
      <c r="AA19" s="82"/>
      <c r="AB19" s="82"/>
      <c r="AC19" s="82"/>
    </row>
    <row r="20" customFormat="false" ht="18" hidden="false" customHeight="true" outlineLevel="0" collapsed="false">
      <c r="B20" s="47"/>
      <c r="C20" s="24" t="n">
        <f aca="false">'Comp. Oficial de Manutenção PR'!D11</f>
        <v>34.79</v>
      </c>
      <c r="D20" s="24" t="n">
        <v>27.34</v>
      </c>
      <c r="E20" s="24" t="n">
        <v>41.1</v>
      </c>
      <c r="N20" s="152"/>
      <c r="O20" s="153"/>
    </row>
    <row r="21" customFormat="false" ht="40.5" hidden="false" customHeight="true" outlineLevel="0" collapsed="false">
      <c r="B21" s="51" t="s">
        <v>149</v>
      </c>
      <c r="N21" s="153"/>
      <c r="O21" s="153"/>
    </row>
    <row r="22" customFormat="false" ht="14.25" hidden="false" customHeight="false" outlineLevel="0" collapsed="false">
      <c r="C22" s="153"/>
      <c r="N22" s="153"/>
      <c r="O22" s="153"/>
    </row>
    <row r="23" customFormat="false" ht="14.25" hidden="false" customHeight="false" outlineLevel="0" collapsed="false">
      <c r="N23" s="153"/>
      <c r="O23" s="153"/>
    </row>
    <row r="24" customFormat="false" ht="15.75" hidden="false" customHeight="true" outlineLevel="0" collapsed="false">
      <c r="N24" s="153"/>
      <c r="O24" s="153"/>
    </row>
    <row r="25" customFormat="false" ht="14.25" hidden="false" customHeight="false" outlineLevel="0" collapsed="false">
      <c r="N25" s="153"/>
      <c r="O25" s="153"/>
    </row>
    <row r="26" customFormat="false" ht="14.25" hidden="false" customHeight="false" outlineLevel="0" collapsed="false">
      <c r="N26" s="153"/>
      <c r="O26" s="153"/>
    </row>
    <row r="27" customFormat="false" ht="14.25" hidden="false" customHeight="false" outlineLevel="0" collapsed="false">
      <c r="N27" s="153"/>
      <c r="O27" s="153"/>
    </row>
    <row r="28" customFormat="false" ht="14.25" hidden="false" customHeight="false" outlineLevel="0" collapsed="false">
      <c r="N28" s="153"/>
      <c r="O28" s="153"/>
    </row>
    <row r="29" customFormat="false" ht="14.25" hidden="false" customHeight="false" outlineLevel="0" collapsed="false">
      <c r="N29" s="153"/>
      <c r="O29" s="153"/>
    </row>
    <row r="65527" customFormat="false" ht="12.75" hidden="false" customHeight="true" outlineLevel="0" collapsed="false"/>
    <row r="65528" customFormat="false" ht="12.75" hidden="false" customHeight="true" outlineLevel="0" collapsed="false"/>
    <row r="65529" customFormat="false" ht="12.75" hidden="false" customHeight="true" outlineLevel="0" collapsed="false"/>
  </sheetData>
  <mergeCells count="45">
    <mergeCell ref="B2:O2"/>
    <mergeCell ref="Q2:AG2"/>
    <mergeCell ref="AI2:AW2"/>
    <mergeCell ref="B4:B6"/>
    <mergeCell ref="C4:G4"/>
    <mergeCell ref="H4:N4"/>
    <mergeCell ref="O4:O6"/>
    <mergeCell ref="Q4:Q6"/>
    <mergeCell ref="R4:U4"/>
    <mergeCell ref="V4:Y4"/>
    <mergeCell ref="Z4:AC4"/>
    <mergeCell ref="AD4:AG4"/>
    <mergeCell ref="AI4:AI6"/>
    <mergeCell ref="AJ4:AN4"/>
    <mergeCell ref="AO4:AQ4"/>
    <mergeCell ref="AS4:AW4"/>
    <mergeCell ref="G5:G6"/>
    <mergeCell ref="N5:N6"/>
    <mergeCell ref="V5:V6"/>
    <mergeCell ref="W5:W6"/>
    <mergeCell ref="X5:X6"/>
    <mergeCell ref="Y5:Y6"/>
    <mergeCell ref="Z5:AB5"/>
    <mergeCell ref="AD5:AD6"/>
    <mergeCell ref="AE5:AE6"/>
    <mergeCell ref="AF5:AF6"/>
    <mergeCell ref="AG5:AG6"/>
    <mergeCell ref="AJ5:AJ6"/>
    <mergeCell ref="AK5:AK6"/>
    <mergeCell ref="AL5:AL6"/>
    <mergeCell ref="AM5:AM6"/>
    <mergeCell ref="AN5:AN6"/>
    <mergeCell ref="AO5:AO6"/>
    <mergeCell ref="AP5:AP6"/>
    <mergeCell ref="AQ5:AQ6"/>
    <mergeCell ref="AS5:AS6"/>
    <mergeCell ref="AT10:AU10"/>
    <mergeCell ref="AT11:AU11"/>
    <mergeCell ref="AT12:AU12"/>
    <mergeCell ref="AT13:AU13"/>
    <mergeCell ref="AT14:AU14"/>
    <mergeCell ref="AT15:AU15"/>
    <mergeCell ref="AI17:AJ17"/>
    <mergeCell ref="B19:B20"/>
    <mergeCell ref="N19:N20"/>
  </mergeCells>
  <printOptions headings="false" gridLines="false" gridLinesSet="true" horizontalCentered="true" verticalCentered="false"/>
  <pageMargins left="0.0576388888888889" right="0.0472222222222222" top="0.332638888888889" bottom="0.196527777777778" header="0.511811023622047" footer="0.511811023622047"/>
  <pageSetup paperSize="9" scale="100" fitToWidth="1" fitToHeight="1" pageOrder="overThenDown" orientation="portrait" blackAndWhite="false" draft="false" cellComments="none" firstPageNumber="1" useFirstPageNumber="true" horizontalDpi="300" verticalDpi="300" copies="1"/>
  <headerFooter differentFirst="false" differentOddEven="false">
    <oddHeader/>
    <odd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FFFFFF"/>
    <pageSetUpPr fitToPage="false"/>
  </sheetPr>
  <dimension ref="B1:S58"/>
  <sheetViews>
    <sheetView showFormulas="false" showGridLines="false" showRowColHeaders="true" showZeros="true" rightToLeft="false" tabSelected="false" showOutlineSymbols="true" defaultGridColor="true" view="normal" topLeftCell="A1" colorId="64" zoomScale="90" zoomScaleNormal="90" zoomScalePageLayoutView="100" workbookViewId="0">
      <selection pane="topLeft" activeCell="R15" activeCellId="0" sqref="R15"/>
    </sheetView>
  </sheetViews>
  <sheetFormatPr defaultColWidth="8.41015625" defaultRowHeight="14.25" zeroHeight="false" outlineLevelRow="0" outlineLevelCol="0"/>
  <cols>
    <col collapsed="false" customWidth="true" hidden="false" outlineLevel="0" max="1" min="1" style="1" width="5.62"/>
    <col collapsed="false" customWidth="true" hidden="false" outlineLevel="0" max="2" min="2" style="84" width="12.62"/>
    <col collapsed="false" customWidth="true" hidden="false" outlineLevel="0" max="3" min="3" style="84" width="32.62"/>
    <col collapsed="false" customWidth="true" hidden="false" outlineLevel="0" max="17" min="4" style="84" width="9.62"/>
    <col collapsed="false" customWidth="true" hidden="false" outlineLevel="0" max="66" min="18" style="84" width="10.75"/>
    <col collapsed="false" customWidth="true" hidden="false" outlineLevel="0" max="257" min="67" style="83" width="10.75"/>
    <col collapsed="false" customWidth="true" hidden="false" outlineLevel="0" max="1024" min="258" style="1" width="10.62"/>
  </cols>
  <sheetData>
    <row r="1" customFormat="false" ht="15" hidden="false" customHeight="true" outlineLevel="0" collapsed="false"/>
    <row r="2" customFormat="false" ht="24.75" hidden="false" customHeight="true" outlineLevel="0" collapsed="false">
      <c r="B2" s="18" t="str">
        <f aca="false">"DESLOCAMENTO BASE "&amp;Resumo!B6</f>
        <v>DESLOCAMENTO BASE PATO BRANCO</v>
      </c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</row>
    <row r="3" customFormat="false" ht="15" hidden="false" customHeight="true" outlineLevel="0" collapsed="false">
      <c r="B3" s="85"/>
      <c r="C3" s="85"/>
      <c r="D3" s="85"/>
      <c r="E3" s="85"/>
      <c r="F3" s="85"/>
      <c r="G3" s="85"/>
      <c r="H3" s="85"/>
      <c r="I3" s="85"/>
      <c r="J3" s="85"/>
      <c r="K3" s="85"/>
      <c r="L3" s="85"/>
      <c r="M3" s="85"/>
      <c r="N3" s="85"/>
    </row>
    <row r="4" customFormat="false" ht="56.65" hidden="false" customHeight="false" outlineLevel="0" collapsed="false">
      <c r="B4" s="21" t="s">
        <v>105</v>
      </c>
      <c r="C4" s="21" t="str">
        <f aca="false">"Rota (saída e retorno "&amp;Resumo!B6&amp;")"</f>
        <v>Rota (saída e retorno PATO BRANCO)</v>
      </c>
      <c r="D4" s="21" t="s">
        <v>106</v>
      </c>
      <c r="E4" s="21" t="s">
        <v>107</v>
      </c>
      <c r="F4" s="21" t="s">
        <v>108</v>
      </c>
      <c r="G4" s="21" t="s">
        <v>109</v>
      </c>
      <c r="H4" s="21" t="s">
        <v>110</v>
      </c>
      <c r="I4" s="21" t="s">
        <v>111</v>
      </c>
      <c r="J4" s="21" t="s">
        <v>112</v>
      </c>
      <c r="K4" s="21" t="s">
        <v>113</v>
      </c>
      <c r="L4" s="21" t="s">
        <v>114</v>
      </c>
      <c r="M4" s="86" t="s">
        <v>150</v>
      </c>
      <c r="N4" s="21" t="s">
        <v>116</v>
      </c>
      <c r="O4" s="21" t="s">
        <v>117</v>
      </c>
      <c r="P4" s="21" t="s">
        <v>118</v>
      </c>
      <c r="Q4" s="21" t="s">
        <v>67</v>
      </c>
      <c r="R4" s="32" t="s">
        <v>119</v>
      </c>
      <c r="S4" s="32" t="s">
        <v>120</v>
      </c>
    </row>
    <row r="5" customFormat="false" ht="15.75" hidden="false" customHeight="true" outlineLevel="0" collapsed="false">
      <c r="B5" s="50" t="n">
        <v>1</v>
      </c>
      <c r="C5" s="154" t="s">
        <v>144</v>
      </c>
      <c r="D5" s="155" t="n">
        <v>29.1</v>
      </c>
      <c r="E5" s="155" t="n">
        <v>29.7</v>
      </c>
      <c r="F5" s="155" t="n">
        <v>0</v>
      </c>
      <c r="G5" s="92" t="n">
        <f aca="false">SUM(D5:F5)</f>
        <v>58.8</v>
      </c>
      <c r="H5" s="155" t="n">
        <v>33</v>
      </c>
      <c r="I5" s="155" t="n">
        <v>31</v>
      </c>
      <c r="J5" s="155" t="n">
        <v>0</v>
      </c>
      <c r="K5" s="92" t="n">
        <f aca="false">SUM(H5:J5)</f>
        <v>64</v>
      </c>
      <c r="L5" s="92" t="n">
        <f aca="false">K5/60</f>
        <v>1.06666666666667</v>
      </c>
      <c r="M5" s="98" t="n">
        <v>0</v>
      </c>
      <c r="N5" s="91" t="n">
        <v>2</v>
      </c>
      <c r="O5" s="156" t="n">
        <f aca="false">L5/N5</f>
        <v>0.533333333333333</v>
      </c>
      <c r="P5" s="97" t="n">
        <f aca="false">M5/N5</f>
        <v>0</v>
      </c>
      <c r="Q5" s="97" t="n">
        <v>0</v>
      </c>
      <c r="R5" s="98" t="str">
        <f aca="false">INDEX('Base Pato Branco'!$K$7:$K$16,MATCH(C5,'Base Pato Branco'!$B$7:$B$16,0))</f>
        <v>NÃO</v>
      </c>
      <c r="S5" s="99" t="n">
        <v>1</v>
      </c>
    </row>
    <row r="6" customFormat="false" ht="15.75" hidden="false" customHeight="true" outlineLevel="0" collapsed="false">
      <c r="B6" s="50"/>
      <c r="C6" s="154" t="s">
        <v>148</v>
      </c>
      <c r="D6" s="155"/>
      <c r="E6" s="155"/>
      <c r="F6" s="155"/>
      <c r="G6" s="92"/>
      <c r="H6" s="155"/>
      <c r="I6" s="155"/>
      <c r="J6" s="155"/>
      <c r="K6" s="92"/>
      <c r="L6" s="92"/>
      <c r="M6" s="98"/>
      <c r="N6" s="91"/>
      <c r="O6" s="157" t="n">
        <f aca="false">O5</f>
        <v>0.533333333333333</v>
      </c>
      <c r="P6" s="107" t="n">
        <f aca="false">P5</f>
        <v>0</v>
      </c>
      <c r="Q6" s="107" t="n">
        <f aca="false">Q5</f>
        <v>0</v>
      </c>
      <c r="R6" s="98" t="str">
        <f aca="false">INDEX('Base Pato Branco'!$K$7:$K$16,MATCH(C6,'Base Pato Branco'!$B$7:$B$16,0))</f>
        <v>SIM</v>
      </c>
      <c r="S6" s="99" t="n">
        <v>1</v>
      </c>
    </row>
    <row r="7" customFormat="false" ht="15.75" hidden="false" customHeight="true" outlineLevel="0" collapsed="false">
      <c r="B7" s="50" t="n">
        <v>2</v>
      </c>
      <c r="C7" s="154" t="s">
        <v>147</v>
      </c>
      <c r="D7" s="155" t="n">
        <v>119</v>
      </c>
      <c r="E7" s="155" t="n">
        <v>25.6</v>
      </c>
      <c r="F7" s="155" t="n">
        <v>144</v>
      </c>
      <c r="G7" s="92" t="n">
        <f aca="false">SUM(D7:F7)</f>
        <v>288.6</v>
      </c>
      <c r="H7" s="155" t="n">
        <v>112</v>
      </c>
      <c r="I7" s="155" t="n">
        <v>27</v>
      </c>
      <c r="J7" s="155" t="n">
        <v>139</v>
      </c>
      <c r="K7" s="92" t="n">
        <f aca="false">SUM(H7:J7)</f>
        <v>278</v>
      </c>
      <c r="L7" s="92" t="n">
        <f aca="false">K7/60</f>
        <v>4.63333333333333</v>
      </c>
      <c r="M7" s="98" t="n">
        <v>0</v>
      </c>
      <c r="N7" s="91" t="n">
        <v>2</v>
      </c>
      <c r="O7" s="156" t="n">
        <f aca="false">L7/N7</f>
        <v>2.31666666666667</v>
      </c>
      <c r="P7" s="97" t="n">
        <f aca="false">M7/N7</f>
        <v>0</v>
      </c>
      <c r="Q7" s="97" t="n">
        <v>0</v>
      </c>
      <c r="R7" s="98" t="str">
        <f aca="false">INDEX('Base Pato Branco'!$K$7:$K$16,MATCH(C7,'Base Pato Branco'!$B$7:$B$16,0))</f>
        <v>NÃO</v>
      </c>
      <c r="S7" s="99" t="n">
        <v>0</v>
      </c>
    </row>
    <row r="8" customFormat="false" ht="15.75" hidden="false" customHeight="true" outlineLevel="0" collapsed="false">
      <c r="B8" s="50"/>
      <c r="C8" s="154" t="s">
        <v>146</v>
      </c>
      <c r="D8" s="155"/>
      <c r="E8" s="155"/>
      <c r="F8" s="155"/>
      <c r="G8" s="92"/>
      <c r="H8" s="155"/>
      <c r="I8" s="155"/>
      <c r="J8" s="155"/>
      <c r="K8" s="92"/>
      <c r="L8" s="92"/>
      <c r="M8" s="98"/>
      <c r="N8" s="91"/>
      <c r="O8" s="157" t="n">
        <f aca="false">O7</f>
        <v>2.31666666666667</v>
      </c>
      <c r="P8" s="107" t="n">
        <f aca="false">P7</f>
        <v>0</v>
      </c>
      <c r="Q8" s="107" t="n">
        <f aca="false">Q7</f>
        <v>0</v>
      </c>
      <c r="R8" s="98" t="str">
        <f aca="false">INDEX('Base Pato Branco'!$K$7:$K$16,MATCH(C8,'Base Pato Branco'!$B$7:$B$16,0))</f>
        <v>NÃO</v>
      </c>
      <c r="S8" s="99" t="n">
        <v>0</v>
      </c>
    </row>
    <row r="9" customFormat="false" ht="15.75" hidden="false" customHeight="true" outlineLevel="0" collapsed="false">
      <c r="B9" s="50" t="n">
        <v>3</v>
      </c>
      <c r="C9" s="154" t="s">
        <v>139</v>
      </c>
      <c r="D9" s="155" t="n">
        <v>31.8</v>
      </c>
      <c r="E9" s="155" t="n">
        <v>46.4</v>
      </c>
      <c r="F9" s="155" t="n">
        <v>78.1</v>
      </c>
      <c r="G9" s="92" t="n">
        <f aca="false">SUM(D9:F9)</f>
        <v>156.3</v>
      </c>
      <c r="H9" s="155" t="n">
        <v>31</v>
      </c>
      <c r="I9" s="155" t="n">
        <v>41</v>
      </c>
      <c r="J9" s="155" t="n">
        <v>70</v>
      </c>
      <c r="K9" s="92" t="n">
        <f aca="false">SUM(H9:J9)</f>
        <v>142</v>
      </c>
      <c r="L9" s="92" t="n">
        <f aca="false">K9/60</f>
        <v>2.36666666666667</v>
      </c>
      <c r="M9" s="98" t="n">
        <v>0</v>
      </c>
      <c r="N9" s="91" t="n">
        <v>2</v>
      </c>
      <c r="O9" s="156" t="n">
        <f aca="false">L9/N9</f>
        <v>1.18333333333333</v>
      </c>
      <c r="P9" s="97" t="n">
        <f aca="false">M9/N9</f>
        <v>0</v>
      </c>
      <c r="Q9" s="97" t="n">
        <v>0</v>
      </c>
      <c r="R9" s="98" t="str">
        <f aca="false">INDEX('Base Pato Branco'!$K$7:$K$16,MATCH(C9,'Base Pato Branco'!$B$7:$B$16,0))</f>
        <v>NÃO</v>
      </c>
      <c r="S9" s="99" t="n">
        <v>0</v>
      </c>
    </row>
    <row r="10" customFormat="false" ht="15.75" hidden="false" customHeight="true" outlineLevel="0" collapsed="false">
      <c r="B10" s="50"/>
      <c r="C10" s="154" t="s">
        <v>142</v>
      </c>
      <c r="D10" s="155"/>
      <c r="E10" s="155"/>
      <c r="F10" s="155"/>
      <c r="G10" s="92"/>
      <c r="H10" s="155"/>
      <c r="I10" s="155"/>
      <c r="J10" s="155"/>
      <c r="K10" s="92"/>
      <c r="L10" s="92"/>
      <c r="M10" s="98" t="n">
        <v>0</v>
      </c>
      <c r="N10" s="91"/>
      <c r="O10" s="157" t="n">
        <f aca="false">O9</f>
        <v>1.18333333333333</v>
      </c>
      <c r="P10" s="107" t="n">
        <f aca="false">P9</f>
        <v>0</v>
      </c>
      <c r="Q10" s="107" t="n">
        <f aca="false">Q9</f>
        <v>0</v>
      </c>
      <c r="R10" s="98" t="str">
        <f aca="false">INDEX('Base Pato Branco'!$K$7:$K$16,MATCH(C10,'Base Pato Branco'!$B$7:$B$16,0))</f>
        <v>NÃO</v>
      </c>
      <c r="S10" s="99" t="n">
        <v>0</v>
      </c>
    </row>
    <row r="11" customFormat="false" ht="15.75" hidden="false" customHeight="true" outlineLevel="0" collapsed="false">
      <c r="B11" s="50" t="n">
        <v>4</v>
      </c>
      <c r="C11" s="154" t="s">
        <v>145</v>
      </c>
      <c r="D11" s="155" t="n">
        <v>128</v>
      </c>
      <c r="E11" s="155" t="n">
        <v>59.3</v>
      </c>
      <c r="F11" s="155" t="n">
        <v>75.8</v>
      </c>
      <c r="G11" s="92" t="n">
        <f aca="false">SUM(D11:F11)</f>
        <v>263.1</v>
      </c>
      <c r="H11" s="155" t="n">
        <v>113</v>
      </c>
      <c r="I11" s="155" t="n">
        <v>58</v>
      </c>
      <c r="J11" s="155" t="n">
        <v>76</v>
      </c>
      <c r="K11" s="92" t="n">
        <f aca="false">SUM(H11:J11)</f>
        <v>247</v>
      </c>
      <c r="L11" s="92" t="n">
        <f aca="false">K11/60</f>
        <v>4.11666666666667</v>
      </c>
      <c r="M11" s="98" t="n">
        <v>0</v>
      </c>
      <c r="N11" s="91" t="n">
        <v>2</v>
      </c>
      <c r="O11" s="156" t="n">
        <f aca="false">L11/N11</f>
        <v>2.05833333333333</v>
      </c>
      <c r="P11" s="97" t="n">
        <f aca="false">M11/N11</f>
        <v>0</v>
      </c>
      <c r="Q11" s="97" t="n">
        <v>0</v>
      </c>
      <c r="R11" s="98" t="str">
        <f aca="false">INDEX('Base Pato Branco'!$K$7:$K$16,MATCH(C11,'Base Pato Branco'!$B$7:$B$16,0))</f>
        <v>NÃO</v>
      </c>
      <c r="S11" s="99" t="n">
        <v>0</v>
      </c>
    </row>
    <row r="12" customFormat="false" ht="15.75" hidden="false" customHeight="true" outlineLevel="0" collapsed="false">
      <c r="B12" s="50"/>
      <c r="C12" s="154" t="s">
        <v>140</v>
      </c>
      <c r="D12" s="155"/>
      <c r="E12" s="155"/>
      <c r="F12" s="155"/>
      <c r="G12" s="92"/>
      <c r="H12" s="155"/>
      <c r="I12" s="155"/>
      <c r="J12" s="155"/>
      <c r="K12" s="92"/>
      <c r="L12" s="92"/>
      <c r="M12" s="98"/>
      <c r="N12" s="91"/>
      <c r="O12" s="157" t="n">
        <f aca="false">O11</f>
        <v>2.05833333333333</v>
      </c>
      <c r="P12" s="107" t="n">
        <f aca="false">P11</f>
        <v>0</v>
      </c>
      <c r="Q12" s="107" t="n">
        <f aca="false">Q11</f>
        <v>0</v>
      </c>
      <c r="R12" s="98" t="str">
        <f aca="false">INDEX('Base Pato Branco'!$K$7:$K$16,MATCH(C12,'Base Pato Branco'!$B$7:$B$16,0))</f>
        <v>NÃO</v>
      </c>
      <c r="S12" s="99" t="n">
        <v>0</v>
      </c>
    </row>
    <row r="13" customFormat="false" ht="15.75" hidden="false" customHeight="true" outlineLevel="0" collapsed="false">
      <c r="B13" s="50" t="n">
        <v>5</v>
      </c>
      <c r="C13" s="154" t="s">
        <v>141</v>
      </c>
      <c r="D13" s="155" t="n">
        <v>53.4</v>
      </c>
      <c r="E13" s="155" t="n">
        <v>53.4</v>
      </c>
      <c r="F13" s="155" t="n">
        <v>0</v>
      </c>
      <c r="G13" s="92" t="n">
        <f aca="false">SUM(D13:F13)</f>
        <v>106.8</v>
      </c>
      <c r="H13" s="155" t="n">
        <v>59</v>
      </c>
      <c r="I13" s="155" t="n">
        <v>58</v>
      </c>
      <c r="J13" s="155" t="n">
        <v>0</v>
      </c>
      <c r="K13" s="92" t="n">
        <f aca="false">SUM(H13:J13)</f>
        <v>117</v>
      </c>
      <c r="L13" s="92" t="n">
        <f aca="false">K13/60</f>
        <v>1.95</v>
      </c>
      <c r="M13" s="93" t="n">
        <v>0</v>
      </c>
      <c r="N13" s="158" t="n">
        <v>1</v>
      </c>
      <c r="O13" s="92" t="n">
        <f aca="false">L13/N13</f>
        <v>1.95</v>
      </c>
      <c r="P13" s="111" t="n">
        <f aca="false">M13/N13</f>
        <v>0</v>
      </c>
      <c r="Q13" s="93" t="n">
        <v>0</v>
      </c>
      <c r="R13" s="98" t="str">
        <f aca="false">INDEX('Base Pato Branco'!$K$7:$K$16,MATCH(C13,'Base Pato Branco'!$B$7:$B$16,0))</f>
        <v>SIM</v>
      </c>
      <c r="S13" s="99" t="n">
        <v>1</v>
      </c>
    </row>
    <row r="14" customFormat="false" ht="15.75" hidden="false" customHeight="true" outlineLevel="0" collapsed="false">
      <c r="B14" s="50" t="n">
        <v>6</v>
      </c>
      <c r="C14" s="154" t="s">
        <v>143</v>
      </c>
      <c r="D14" s="155" t="n">
        <v>88.6</v>
      </c>
      <c r="E14" s="155" t="n">
        <v>88.5</v>
      </c>
      <c r="F14" s="155" t="n">
        <v>0</v>
      </c>
      <c r="G14" s="92" t="n">
        <f aca="false">SUM(D14:F14)</f>
        <v>177.1</v>
      </c>
      <c r="H14" s="155" t="n">
        <v>82</v>
      </c>
      <c r="I14" s="155" t="n">
        <v>83</v>
      </c>
      <c r="J14" s="155" t="n">
        <v>0</v>
      </c>
      <c r="K14" s="92" t="n">
        <f aca="false">SUM(H14:J14)</f>
        <v>165</v>
      </c>
      <c r="L14" s="92" t="n">
        <f aca="false">K14/60</f>
        <v>2.75</v>
      </c>
      <c r="M14" s="93" t="n">
        <v>0</v>
      </c>
      <c r="N14" s="158" t="n">
        <v>1</v>
      </c>
      <c r="O14" s="92" t="n">
        <f aca="false">L14/N14</f>
        <v>2.75</v>
      </c>
      <c r="P14" s="111" t="n">
        <f aca="false">M14/N14</f>
        <v>0</v>
      </c>
      <c r="Q14" s="93" t="n">
        <v>0</v>
      </c>
      <c r="R14" s="98" t="str">
        <f aca="false">INDEX('Base Pato Branco'!$K$7:$K$16,MATCH(C14,'Base Pato Branco'!$B$7:$B$16,0))</f>
        <v>NÃO</v>
      </c>
      <c r="S14" s="99" t="n">
        <v>0</v>
      </c>
    </row>
    <row r="15" customFormat="false" ht="21" hidden="false" customHeight="true" outlineLevel="0" collapsed="false">
      <c r="B15" s="114" t="s">
        <v>101</v>
      </c>
      <c r="C15" s="114"/>
      <c r="D15" s="114"/>
      <c r="E15" s="114"/>
      <c r="F15" s="114"/>
      <c r="G15" s="115" t="n">
        <f aca="false">SUM(G5:G14)</f>
        <v>1050.7</v>
      </c>
      <c r="H15" s="115" t="s">
        <v>101</v>
      </c>
      <c r="I15" s="115"/>
      <c r="J15" s="115"/>
      <c r="K15" s="115" t="n">
        <f aca="false">SUM(K5:K14)</f>
        <v>1013</v>
      </c>
      <c r="L15" s="115" t="n">
        <f aca="false">SUM(L5:L14)</f>
        <v>16.8833333333333</v>
      </c>
      <c r="M15" s="117" t="n">
        <f aca="false">SUM(M5:M14)</f>
        <v>0</v>
      </c>
      <c r="N15" s="159" t="n">
        <f aca="false">SUM(N5:N14)</f>
        <v>10</v>
      </c>
      <c r="O15" s="115" t="n">
        <f aca="false">SUM(O5:O14)</f>
        <v>16.8833333333333</v>
      </c>
      <c r="P15" s="117" t="n">
        <f aca="false">SUM(P5:P14)</f>
        <v>0</v>
      </c>
      <c r="Q15" s="117" t="n">
        <v>0</v>
      </c>
      <c r="R15" s="117"/>
      <c r="S15" s="117"/>
    </row>
    <row r="16" customFormat="false" ht="15.75" hidden="false" customHeight="true" outlineLevel="0" collapsed="false">
      <c r="B16" s="121"/>
      <c r="C16" s="121"/>
      <c r="D16" s="121"/>
      <c r="E16" s="121"/>
      <c r="F16" s="83"/>
      <c r="G16" s="83"/>
      <c r="H16" s="83"/>
      <c r="I16" s="83"/>
      <c r="J16" s="83"/>
      <c r="K16" s="83"/>
      <c r="L16" s="83"/>
      <c r="M16" s="83"/>
      <c r="N16" s="83"/>
    </row>
    <row r="17" customFormat="false" ht="18.75" hidden="false" customHeight="true" outlineLevel="0" collapsed="false">
      <c r="B17" s="122" t="s">
        <v>121</v>
      </c>
      <c r="C17" s="122"/>
      <c r="D17" s="122"/>
      <c r="E17" s="122"/>
      <c r="F17" s="121"/>
      <c r="G17" s="121"/>
      <c r="H17" s="121"/>
      <c r="I17" s="121"/>
      <c r="J17" s="121"/>
      <c r="K17" s="121"/>
      <c r="L17" s="121"/>
      <c r="M17" s="121"/>
      <c r="N17" s="121"/>
    </row>
    <row r="18" customFormat="false" ht="18.75" hidden="false" customHeight="true" outlineLevel="0" collapsed="false">
      <c r="B18" s="142" t="s">
        <v>122</v>
      </c>
      <c r="C18" s="142" t="s">
        <v>123</v>
      </c>
      <c r="D18" s="142" t="s">
        <v>124</v>
      </c>
      <c r="E18" s="142" t="s">
        <v>125</v>
      </c>
      <c r="F18" s="121"/>
      <c r="G18" s="123"/>
      <c r="H18" s="123"/>
      <c r="I18" s="121"/>
      <c r="J18" s="121"/>
      <c r="K18" s="121"/>
      <c r="L18" s="121"/>
      <c r="M18" s="121"/>
      <c r="N18" s="121"/>
    </row>
    <row r="19" customFormat="false" ht="18.75" hidden="false" customHeight="true" outlineLevel="0" collapsed="false">
      <c r="B19" s="50" t="s">
        <v>126</v>
      </c>
      <c r="C19" s="125" t="s">
        <v>127</v>
      </c>
      <c r="D19" s="50" t="s">
        <v>128</v>
      </c>
      <c r="E19" s="126" t="n">
        <f aca="false">'Comp. Veículo PR'!D11</f>
        <v>52.69</v>
      </c>
      <c r="F19" s="121"/>
      <c r="G19" s="127"/>
      <c r="H19" s="160"/>
      <c r="I19" s="121"/>
      <c r="J19" s="121"/>
      <c r="K19" s="161"/>
      <c r="L19" s="161"/>
    </row>
    <row r="20" customFormat="false" ht="18.75" hidden="false" customHeight="true" outlineLevel="0" collapsed="false">
      <c r="B20" s="108" t="s">
        <v>129</v>
      </c>
      <c r="C20" s="128" t="s">
        <v>127</v>
      </c>
      <c r="D20" s="108" t="s">
        <v>130</v>
      </c>
      <c r="E20" s="129" t="n">
        <f aca="false">'Comp. Veículo PR'!D27</f>
        <v>6.95</v>
      </c>
      <c r="F20" s="121"/>
      <c r="G20" s="127"/>
      <c r="H20" s="127"/>
      <c r="I20" s="121"/>
      <c r="J20" s="121"/>
      <c r="K20" s="161"/>
      <c r="L20" s="161"/>
    </row>
    <row r="21" customFormat="false" ht="47.25" hidden="false" customHeight="true" outlineLevel="0" collapsed="false">
      <c r="B21" s="130" t="s">
        <v>131</v>
      </c>
      <c r="C21" s="130"/>
      <c r="D21" s="130"/>
      <c r="E21" s="130"/>
      <c r="F21" s="131"/>
      <c r="G21" s="131"/>
      <c r="H21" s="131"/>
      <c r="I21" s="131"/>
      <c r="J21" s="131"/>
      <c r="K21" s="131"/>
      <c r="L21" s="161"/>
    </row>
    <row r="22" customFormat="false" ht="18.75" hidden="false" customHeight="true" outlineLevel="0" collapsed="false">
      <c r="B22" s="132"/>
      <c r="C22" s="132"/>
      <c r="D22" s="132"/>
      <c r="E22" s="132"/>
      <c r="F22" s="131"/>
      <c r="G22" s="131"/>
      <c r="H22" s="131"/>
      <c r="I22" s="131"/>
      <c r="J22" s="131"/>
      <c r="K22" s="131"/>
      <c r="L22" s="161"/>
    </row>
    <row r="23" customFormat="false" ht="15.75" hidden="false" customHeight="true" outlineLevel="0" collapsed="false">
      <c r="B23" s="122" t="s">
        <v>132</v>
      </c>
      <c r="C23" s="122"/>
      <c r="D23" s="121"/>
      <c r="E23" s="121"/>
      <c r="F23" s="121"/>
      <c r="G23" s="121"/>
      <c r="H23" s="121"/>
      <c r="I23" s="121"/>
      <c r="J23" s="121"/>
      <c r="K23" s="121"/>
      <c r="L23" s="121"/>
    </row>
    <row r="24" customFormat="false" ht="15.75" hidden="false" customHeight="true" outlineLevel="0" collapsed="false">
      <c r="B24" s="162" t="s">
        <v>128</v>
      </c>
      <c r="C24" s="163" t="n">
        <f aca="false">E19*L15</f>
        <v>889.582833333333</v>
      </c>
      <c r="D24" s="121"/>
      <c r="E24" s="121"/>
      <c r="F24" s="121"/>
      <c r="G24" s="121"/>
      <c r="H24" s="121"/>
      <c r="I24" s="121"/>
      <c r="J24" s="121"/>
    </row>
    <row r="25" customFormat="false" ht="15.75" hidden="false" customHeight="true" outlineLevel="0" collapsed="false">
      <c r="B25" s="50" t="s">
        <v>130</v>
      </c>
      <c r="C25" s="126" t="n">
        <f aca="false">E20*('Base Pato Branco'!N17/12)</f>
        <v>201.318333333333</v>
      </c>
      <c r="D25" s="121"/>
      <c r="E25" s="121"/>
      <c r="F25" s="121"/>
      <c r="G25" s="121"/>
      <c r="H25" s="121"/>
      <c r="I25" s="121"/>
      <c r="J25" s="121"/>
    </row>
    <row r="26" customFormat="false" ht="15.75" hidden="false" customHeight="true" outlineLevel="0" collapsed="false">
      <c r="B26" s="133" t="s">
        <v>28</v>
      </c>
      <c r="C26" s="134" t="n">
        <f aca="false">C24+C25</f>
        <v>1090.90116666667</v>
      </c>
      <c r="D26" s="121"/>
      <c r="E26" s="121"/>
      <c r="F26" s="121"/>
      <c r="G26" s="121"/>
      <c r="H26" s="121"/>
      <c r="I26" s="83"/>
      <c r="J26" s="83"/>
    </row>
    <row r="27" customFormat="false" ht="15.75" hidden="false" customHeight="true" outlineLevel="0" collapsed="false">
      <c r="B27" s="164"/>
      <c r="C27" s="164"/>
      <c r="D27" s="121"/>
      <c r="H27" s="83"/>
      <c r="I27" s="83"/>
    </row>
    <row r="28" customFormat="false" ht="15.75" hidden="false" customHeight="true" outlineLevel="0" collapsed="false">
      <c r="B28" s="136" t="s">
        <v>133</v>
      </c>
      <c r="C28" s="136"/>
      <c r="D28" s="121"/>
      <c r="H28" s="83"/>
      <c r="I28" s="83"/>
    </row>
    <row r="29" customFormat="false" ht="15.75" hidden="false" customHeight="true" outlineLevel="0" collapsed="false">
      <c r="B29" s="142" t="s">
        <v>125</v>
      </c>
      <c r="C29" s="138" t="n">
        <f aca="false">SUM(M5:M14)</f>
        <v>0</v>
      </c>
      <c r="I29" s="121"/>
    </row>
    <row r="30" customFormat="false" ht="14.25" hidden="false" customHeight="false" outlineLevel="0" collapsed="false">
      <c r="B30" s="83"/>
      <c r="C30" s="83"/>
      <c r="D30" s="83"/>
    </row>
    <row r="31" customFormat="false" ht="14.25" hidden="false" customHeight="false" outlineLevel="0" collapsed="false">
      <c r="B31" s="127"/>
      <c r="C31" s="121"/>
      <c r="D31" s="121"/>
    </row>
    <row r="32" customFormat="false" ht="14.25" hidden="false" customHeight="false" outlineLevel="0" collapsed="false">
      <c r="B32" s="164"/>
      <c r="C32" s="121"/>
      <c r="D32" s="121"/>
    </row>
    <row r="33" customFormat="false" ht="14.25" hidden="false" customHeight="false" outlineLevel="0" collapsed="false">
      <c r="B33" s="121"/>
      <c r="C33" s="121"/>
      <c r="D33" s="127"/>
    </row>
    <row r="34" customFormat="false" ht="14.25" hidden="false" customHeight="false" outlineLevel="0" collapsed="false">
      <c r="B34" s="121"/>
      <c r="C34" s="121"/>
      <c r="D34" s="127"/>
    </row>
    <row r="35" customFormat="false" ht="14.25" hidden="false" customHeight="false" outlineLevel="0" collapsed="false">
      <c r="B35" s="121"/>
      <c r="C35" s="121"/>
      <c r="D35" s="127"/>
    </row>
    <row r="36" customFormat="false" ht="14.25" hidden="false" customHeight="false" outlineLevel="0" collapsed="false">
      <c r="B36" s="164"/>
      <c r="C36" s="121"/>
      <c r="D36" s="165"/>
    </row>
    <row r="37" customFormat="false" ht="14.25" hidden="false" customHeight="false" outlineLevel="0" collapsed="false">
      <c r="B37" s="83"/>
      <c r="C37" s="83"/>
      <c r="D37" s="83"/>
    </row>
    <row r="38" customFormat="false" ht="14.25" hidden="false" customHeight="false" outlineLevel="0" collapsed="false">
      <c r="B38" s="166"/>
      <c r="C38" s="83"/>
      <c r="D38" s="83"/>
    </row>
    <row r="39" customFormat="false" ht="14.25" hidden="false" customHeight="false" outlineLevel="0" collapsed="false">
      <c r="B39" s="127"/>
      <c r="C39" s="121"/>
      <c r="D39" s="121"/>
    </row>
    <row r="40" customFormat="false" ht="14.25" hidden="false" customHeight="false" outlineLevel="0" collapsed="false">
      <c r="B40" s="164"/>
      <c r="C40" s="121"/>
      <c r="D40" s="121"/>
    </row>
    <row r="41" customFormat="false" ht="14.25" hidden="false" customHeight="false" outlineLevel="0" collapsed="false">
      <c r="B41" s="121"/>
      <c r="C41" s="121"/>
      <c r="D41" s="127"/>
    </row>
    <row r="42" customFormat="false" ht="14.25" hidden="false" customHeight="false" outlineLevel="0" collapsed="false">
      <c r="B42" s="121"/>
      <c r="C42" s="121"/>
      <c r="D42" s="127"/>
    </row>
    <row r="43" customFormat="false" ht="14.25" hidden="false" customHeight="false" outlineLevel="0" collapsed="false">
      <c r="B43" s="164"/>
      <c r="C43" s="121"/>
      <c r="D43" s="165"/>
    </row>
    <row r="44" customFormat="false" ht="14.25" hidden="false" customHeight="false" outlineLevel="0" collapsed="false">
      <c r="B44" s="83"/>
      <c r="C44" s="83"/>
      <c r="D44" s="83"/>
    </row>
    <row r="45" customFormat="false" ht="14.25" hidden="false" customHeight="false" outlineLevel="0" collapsed="false">
      <c r="B45" s="166"/>
      <c r="C45" s="83"/>
      <c r="D45" s="83"/>
    </row>
    <row r="46" customFormat="false" ht="14.25" hidden="false" customHeight="false" outlineLevel="0" collapsed="false">
      <c r="B46" s="127"/>
      <c r="C46" s="121"/>
      <c r="D46" s="121"/>
    </row>
    <row r="47" customFormat="false" ht="14.25" hidden="false" customHeight="false" outlineLevel="0" collapsed="false">
      <c r="B47" s="164"/>
      <c r="C47" s="121"/>
      <c r="D47" s="121"/>
    </row>
    <row r="48" customFormat="false" ht="14.25" hidden="false" customHeight="false" outlineLevel="0" collapsed="false">
      <c r="B48" s="121"/>
      <c r="C48" s="121"/>
      <c r="D48" s="127"/>
    </row>
    <row r="49" customFormat="false" ht="14.25" hidden="false" customHeight="false" outlineLevel="0" collapsed="false">
      <c r="B49" s="121"/>
      <c r="C49" s="121"/>
      <c r="D49" s="127"/>
    </row>
    <row r="50" customFormat="false" ht="14.25" hidden="false" customHeight="false" outlineLevel="0" collapsed="false">
      <c r="B50" s="164"/>
      <c r="C50" s="121"/>
      <c r="D50" s="165"/>
    </row>
    <row r="51" customFormat="false" ht="14.25" hidden="false" customHeight="false" outlineLevel="0" collapsed="false">
      <c r="B51" s="83"/>
      <c r="C51" s="83"/>
      <c r="D51" s="83"/>
    </row>
    <row r="52" customFormat="false" ht="14.25" hidden="false" customHeight="false" outlineLevel="0" collapsed="false">
      <c r="B52" s="166"/>
      <c r="C52" s="83"/>
      <c r="D52" s="83"/>
    </row>
    <row r="53" customFormat="false" ht="14.25" hidden="false" customHeight="false" outlineLevel="0" collapsed="false">
      <c r="B53" s="127"/>
      <c r="C53" s="121"/>
      <c r="D53" s="121"/>
    </row>
    <row r="54" customFormat="false" ht="14.25" hidden="false" customHeight="false" outlineLevel="0" collapsed="false">
      <c r="B54" s="164"/>
      <c r="C54" s="121"/>
      <c r="D54" s="121"/>
    </row>
    <row r="55" customFormat="false" ht="14.25" hidden="false" customHeight="false" outlineLevel="0" collapsed="false">
      <c r="B55" s="121"/>
      <c r="C55" s="121"/>
      <c r="D55" s="127"/>
    </row>
    <row r="56" customFormat="false" ht="14.25" hidden="false" customHeight="false" outlineLevel="0" collapsed="false">
      <c r="B56" s="121"/>
      <c r="C56" s="121"/>
      <c r="D56" s="127"/>
    </row>
    <row r="57" customFormat="false" ht="14.25" hidden="false" customHeight="false" outlineLevel="0" collapsed="false">
      <c r="B57" s="121"/>
      <c r="C57" s="121"/>
      <c r="D57" s="127"/>
    </row>
    <row r="58" customFormat="false" ht="14.25" hidden="false" customHeight="false" outlineLevel="0" collapsed="false">
      <c r="B58" s="164"/>
      <c r="C58" s="121"/>
      <c r="D58" s="165"/>
    </row>
  </sheetData>
  <mergeCells count="55">
    <mergeCell ref="B2:Q2"/>
    <mergeCell ref="B5:B6"/>
    <mergeCell ref="D5:D6"/>
    <mergeCell ref="E5:E6"/>
    <mergeCell ref="F5:F6"/>
    <mergeCell ref="G5:G6"/>
    <mergeCell ref="H5:H6"/>
    <mergeCell ref="I5:I6"/>
    <mergeCell ref="J5:J6"/>
    <mergeCell ref="K5:K6"/>
    <mergeCell ref="L5:L6"/>
    <mergeCell ref="M5:M6"/>
    <mergeCell ref="N5:N6"/>
    <mergeCell ref="B7:B8"/>
    <mergeCell ref="D7:D8"/>
    <mergeCell ref="E7:E8"/>
    <mergeCell ref="F7:F8"/>
    <mergeCell ref="G7:G8"/>
    <mergeCell ref="H7:H8"/>
    <mergeCell ref="I7:I8"/>
    <mergeCell ref="J7:J8"/>
    <mergeCell ref="K7:K8"/>
    <mergeCell ref="L7:L8"/>
    <mergeCell ref="M7:M8"/>
    <mergeCell ref="N7:N8"/>
    <mergeCell ref="B9:B10"/>
    <mergeCell ref="D9:D10"/>
    <mergeCell ref="E9:E10"/>
    <mergeCell ref="F9:F10"/>
    <mergeCell ref="G9:G10"/>
    <mergeCell ref="H9:H10"/>
    <mergeCell ref="I9:I10"/>
    <mergeCell ref="J9:J10"/>
    <mergeCell ref="K9:K10"/>
    <mergeCell ref="L9:L10"/>
    <mergeCell ref="M9:M10"/>
    <mergeCell ref="N9:N10"/>
    <mergeCell ref="B11:B12"/>
    <mergeCell ref="D11:D12"/>
    <mergeCell ref="E11:E12"/>
    <mergeCell ref="F11:F12"/>
    <mergeCell ref="G11:G12"/>
    <mergeCell ref="H11:H12"/>
    <mergeCell ref="I11:I12"/>
    <mergeCell ref="J11:J12"/>
    <mergeCell ref="K11:K12"/>
    <mergeCell ref="L11:L12"/>
    <mergeCell ref="M11:M12"/>
    <mergeCell ref="N11:N12"/>
    <mergeCell ref="B15:F15"/>
    <mergeCell ref="H15:J15"/>
    <mergeCell ref="B17:E17"/>
    <mergeCell ref="B21:E21"/>
    <mergeCell ref="B23:C23"/>
    <mergeCell ref="B28:C28"/>
  </mergeCells>
  <printOptions headings="false" gridLines="false" gridLinesSet="true" horizontalCentered="true" verticalCentered="false"/>
  <pageMargins left="0.7875" right="0.7875" top="0.159722222222222" bottom="0.0819444444444444" header="0.511811023622047" footer="0.511811023622047"/>
  <pageSetup paperSize="9" scale="100" fitToWidth="1" fitToHeight="1" pageOrder="overThenDown" orientation="portrait" blackAndWhite="false" draft="false" cellComments="none" firstPageNumber="1" useFirstPageNumber="true" horizontalDpi="300" verticalDpi="300" copies="1"/>
  <headerFooter differentFirst="false" differentOddEven="false">
    <oddHeader/>
    <odd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FFFFFF"/>
    <pageSetUpPr fitToPage="false"/>
  </sheetPr>
  <dimension ref="B1:I32"/>
  <sheetViews>
    <sheetView showFormulas="false" showGridLines="false" showRowColHeaders="true" showZeros="true" rightToLeft="false" tabSelected="false" showOutlineSymbols="true" defaultGridColor="true" view="normal" topLeftCell="A1" colorId="64" zoomScale="90" zoomScaleNormal="90" zoomScalePageLayoutView="100" workbookViewId="0">
      <selection pane="topLeft" activeCell="D24" activeCellId="0" sqref="D24"/>
    </sheetView>
  </sheetViews>
  <sheetFormatPr defaultColWidth="8.41015625" defaultRowHeight="14.25" zeroHeight="false" outlineLevelRow="0" outlineLevelCol="0"/>
  <cols>
    <col collapsed="false" customWidth="true" hidden="false" outlineLevel="0" max="1" min="1" style="1" width="5.62"/>
    <col collapsed="false" customWidth="true" hidden="false" outlineLevel="0" max="2" min="2" style="1" width="3"/>
    <col collapsed="false" customWidth="true" hidden="false" outlineLevel="0" max="3" min="3" style="1" width="12.25"/>
    <col collapsed="false" customWidth="true" hidden="false" outlineLevel="0" max="4" min="4" style="1" width="60"/>
    <col collapsed="false" customWidth="true" hidden="false" outlineLevel="0" max="5" min="5" style="1" width="30"/>
    <col collapsed="false" customWidth="true" hidden="false" outlineLevel="0" max="6" min="6" style="1" width="10"/>
    <col collapsed="false" customWidth="true" hidden="false" outlineLevel="0" max="7" min="7" style="1" width="13.76"/>
    <col collapsed="false" customWidth="true" hidden="false" outlineLevel="0" max="8" min="8" style="1" width="12"/>
    <col collapsed="false" customWidth="true" hidden="false" outlineLevel="0" max="9" min="9" style="1" width="14"/>
    <col collapsed="false" customWidth="true" hidden="false" outlineLevel="0" max="1026" min="10" style="1" width="8.62"/>
  </cols>
  <sheetData>
    <row r="1" customFormat="false" ht="15" hidden="false" customHeight="true" outlineLevel="0" collapsed="false"/>
    <row r="2" customFormat="false" ht="24.75" hidden="false" customHeight="true" outlineLevel="0" collapsed="false">
      <c r="B2" s="167" t="s">
        <v>151</v>
      </c>
      <c r="C2" s="167"/>
      <c r="D2" s="167"/>
      <c r="E2" s="167"/>
      <c r="F2" s="167"/>
      <c r="G2" s="167"/>
      <c r="H2" s="167"/>
      <c r="I2" s="167"/>
    </row>
    <row r="3" customFormat="false" ht="21" hidden="false" customHeight="true" outlineLevel="0" collapsed="false"/>
    <row r="4" customFormat="false" ht="16.5" hidden="false" customHeight="true" outlineLevel="0" collapsed="false">
      <c r="B4" s="168" t="s">
        <v>152</v>
      </c>
      <c r="C4" s="168"/>
      <c r="D4" s="168"/>
      <c r="E4" s="168"/>
      <c r="F4" s="168"/>
      <c r="G4" s="168"/>
      <c r="H4" s="168"/>
      <c r="I4" s="168"/>
    </row>
    <row r="5" customFormat="false" ht="16.5" hidden="false" customHeight="true" outlineLevel="0" collapsed="false">
      <c r="B5" s="169" t="s">
        <v>153</v>
      </c>
      <c r="C5" s="169"/>
      <c r="D5" s="170" t="s">
        <v>154</v>
      </c>
      <c r="E5" s="170"/>
      <c r="F5" s="170"/>
      <c r="G5" s="170"/>
      <c r="H5" s="170"/>
      <c r="I5" s="170"/>
    </row>
    <row r="6" customFormat="false" ht="16.5" hidden="false" customHeight="true" outlineLevel="0" collapsed="false">
      <c r="B6" s="169" t="s">
        <v>123</v>
      </c>
      <c r="C6" s="169"/>
      <c r="D6" s="170" t="s">
        <v>155</v>
      </c>
      <c r="E6" s="170"/>
      <c r="F6" s="170"/>
      <c r="G6" s="170"/>
      <c r="H6" s="170"/>
      <c r="I6" s="170"/>
    </row>
    <row r="7" customFormat="false" ht="16.5" hidden="false" customHeight="true" outlineLevel="0" collapsed="false">
      <c r="B7" s="169" t="s">
        <v>156</v>
      </c>
      <c r="C7" s="169"/>
      <c r="D7" s="171" t="s">
        <v>157</v>
      </c>
      <c r="E7" s="171"/>
      <c r="F7" s="171"/>
      <c r="G7" s="171"/>
      <c r="H7" s="171"/>
      <c r="I7" s="171"/>
    </row>
    <row r="8" customFormat="false" ht="16.5" hidden="false" customHeight="true" outlineLevel="0" collapsed="false">
      <c r="B8" s="169" t="s">
        <v>158</v>
      </c>
      <c r="C8" s="169"/>
      <c r="D8" s="170" t="s">
        <v>159</v>
      </c>
      <c r="E8" s="170"/>
      <c r="F8" s="170"/>
      <c r="G8" s="170"/>
      <c r="H8" s="170"/>
      <c r="I8" s="170"/>
    </row>
    <row r="9" customFormat="false" ht="16.5" hidden="false" customHeight="true" outlineLevel="0" collapsed="false">
      <c r="B9" s="169" t="s">
        <v>160</v>
      </c>
      <c r="C9" s="169"/>
      <c r="D9" s="170" t="s">
        <v>161</v>
      </c>
      <c r="E9" s="170"/>
      <c r="F9" s="170"/>
      <c r="G9" s="170"/>
      <c r="H9" s="170"/>
      <c r="I9" s="170"/>
    </row>
    <row r="10" customFormat="false" ht="16.5" hidden="false" customHeight="true" outlineLevel="0" collapsed="false">
      <c r="B10" s="169" t="s">
        <v>124</v>
      </c>
      <c r="C10" s="169"/>
      <c r="D10" s="170" t="s">
        <v>128</v>
      </c>
      <c r="E10" s="170"/>
      <c r="F10" s="170"/>
      <c r="G10" s="170"/>
      <c r="H10" s="170"/>
      <c r="I10" s="170"/>
    </row>
    <row r="11" customFormat="false" ht="23.25" hidden="false" customHeight="true" outlineLevel="0" collapsed="false">
      <c r="B11" s="169" t="s">
        <v>162</v>
      </c>
      <c r="C11" s="169"/>
      <c r="D11" s="172" t="n">
        <f aca="false">SUM(I14:I18)</f>
        <v>52.02</v>
      </c>
      <c r="E11" s="172"/>
      <c r="F11" s="172"/>
      <c r="G11" s="172"/>
      <c r="H11" s="172"/>
      <c r="I11" s="172"/>
    </row>
    <row r="12" customFormat="false" ht="15.75" hidden="false" customHeight="true" outlineLevel="0" collapsed="false">
      <c r="B12" s="173"/>
      <c r="C12" s="173"/>
      <c r="D12" s="174"/>
      <c r="E12" s="174"/>
      <c r="F12" s="174"/>
      <c r="G12" s="174"/>
      <c r="H12" s="174"/>
      <c r="I12" s="174"/>
    </row>
    <row r="13" customFormat="false" ht="29.25" hidden="false" customHeight="true" outlineLevel="0" collapsed="false">
      <c r="B13" s="175"/>
      <c r="C13" s="175" t="s">
        <v>163</v>
      </c>
      <c r="D13" s="175" t="s">
        <v>123</v>
      </c>
      <c r="E13" s="175" t="s">
        <v>160</v>
      </c>
      <c r="F13" s="175" t="s">
        <v>124</v>
      </c>
      <c r="G13" s="175" t="s">
        <v>162</v>
      </c>
      <c r="H13" s="175" t="s">
        <v>164</v>
      </c>
      <c r="I13" s="175" t="s">
        <v>162</v>
      </c>
    </row>
    <row r="14" customFormat="false" ht="27.75" hidden="false" customHeight="true" outlineLevel="0" collapsed="false">
      <c r="B14" s="176" t="s">
        <v>165</v>
      </c>
      <c r="C14" s="176" t="s">
        <v>166</v>
      </c>
      <c r="D14" s="177" t="s">
        <v>167</v>
      </c>
      <c r="E14" s="177" t="s">
        <v>161</v>
      </c>
      <c r="F14" s="176" t="s">
        <v>168</v>
      </c>
      <c r="G14" s="178" t="n">
        <v>4.86</v>
      </c>
      <c r="H14" s="176" t="s">
        <v>169</v>
      </c>
      <c r="I14" s="178" t="n">
        <f aca="false">G14*H14</f>
        <v>4.86</v>
      </c>
    </row>
    <row r="15" customFormat="false" ht="27.75" hidden="false" customHeight="true" outlineLevel="0" collapsed="false">
      <c r="B15" s="176" t="s">
        <v>165</v>
      </c>
      <c r="C15" s="176" t="s">
        <v>170</v>
      </c>
      <c r="D15" s="177" t="s">
        <v>171</v>
      </c>
      <c r="E15" s="177" t="s">
        <v>161</v>
      </c>
      <c r="F15" s="176" t="s">
        <v>168</v>
      </c>
      <c r="G15" s="178" t="n">
        <v>1.49</v>
      </c>
      <c r="H15" s="176" t="s">
        <v>169</v>
      </c>
      <c r="I15" s="178" t="n">
        <f aca="false">G15*H15</f>
        <v>1.49</v>
      </c>
    </row>
    <row r="16" customFormat="false" ht="42" hidden="false" customHeight="true" outlineLevel="0" collapsed="false">
      <c r="B16" s="176" t="s">
        <v>165</v>
      </c>
      <c r="C16" s="176" t="s">
        <v>172</v>
      </c>
      <c r="D16" s="177" t="s">
        <v>173</v>
      </c>
      <c r="E16" s="177" t="s">
        <v>161</v>
      </c>
      <c r="F16" s="176" t="s">
        <v>168</v>
      </c>
      <c r="G16" s="178" t="n">
        <v>0.6</v>
      </c>
      <c r="H16" s="176" t="s">
        <v>169</v>
      </c>
      <c r="I16" s="178" t="n">
        <f aca="false">G16*H16</f>
        <v>0.6</v>
      </c>
    </row>
    <row r="17" customFormat="false" ht="27.75" hidden="false" customHeight="true" outlineLevel="0" collapsed="false">
      <c r="B17" s="176" t="s">
        <v>165</v>
      </c>
      <c r="C17" s="176" t="s">
        <v>174</v>
      </c>
      <c r="D17" s="177" t="s">
        <v>175</v>
      </c>
      <c r="E17" s="177" t="s">
        <v>161</v>
      </c>
      <c r="F17" s="176" t="s">
        <v>168</v>
      </c>
      <c r="G17" s="178" t="n">
        <v>6.07</v>
      </c>
      <c r="H17" s="176" t="s">
        <v>169</v>
      </c>
      <c r="I17" s="178" t="n">
        <f aca="false">G17*H17</f>
        <v>6.07</v>
      </c>
    </row>
    <row r="18" customFormat="false" ht="42" hidden="false" customHeight="true" outlineLevel="0" collapsed="false">
      <c r="B18" s="176" t="s">
        <v>165</v>
      </c>
      <c r="C18" s="176" t="s">
        <v>176</v>
      </c>
      <c r="D18" s="177" t="s">
        <v>177</v>
      </c>
      <c r="E18" s="177" t="s">
        <v>161</v>
      </c>
      <c r="F18" s="176" t="s">
        <v>168</v>
      </c>
      <c r="G18" s="178" t="n">
        <v>39</v>
      </c>
      <c r="H18" s="176" t="s">
        <v>169</v>
      </c>
      <c r="I18" s="178" t="n">
        <f aca="false">G18*H18</f>
        <v>39</v>
      </c>
    </row>
    <row r="19" customFormat="false" ht="27.75" hidden="false" customHeight="true" outlineLevel="0" collapsed="false"/>
    <row r="20" customFormat="false" ht="16.5" hidden="false" customHeight="true" outlineLevel="0" collapsed="false">
      <c r="B20" s="167" t="s">
        <v>178</v>
      </c>
      <c r="C20" s="167"/>
      <c r="D20" s="167"/>
      <c r="E20" s="167"/>
      <c r="F20" s="167"/>
      <c r="G20" s="167"/>
      <c r="H20" s="167"/>
      <c r="I20" s="167"/>
    </row>
    <row r="21" customFormat="false" ht="16.5" hidden="false" customHeight="true" outlineLevel="0" collapsed="false">
      <c r="B21" s="169" t="s">
        <v>153</v>
      </c>
      <c r="C21" s="169"/>
      <c r="D21" s="170" t="s">
        <v>179</v>
      </c>
      <c r="E21" s="170"/>
      <c r="F21" s="170"/>
      <c r="G21" s="170"/>
      <c r="H21" s="170"/>
      <c r="I21" s="170"/>
    </row>
    <row r="22" customFormat="false" ht="16.5" hidden="false" customHeight="true" outlineLevel="0" collapsed="false">
      <c r="B22" s="169" t="s">
        <v>123</v>
      </c>
      <c r="C22" s="169"/>
      <c r="D22" s="170" t="s">
        <v>180</v>
      </c>
      <c r="E22" s="170"/>
      <c r="F22" s="170"/>
      <c r="G22" s="170"/>
      <c r="H22" s="170"/>
      <c r="I22" s="170"/>
    </row>
    <row r="23" customFormat="false" ht="16.5" hidden="false" customHeight="true" outlineLevel="0" collapsed="false">
      <c r="B23" s="169" t="s">
        <v>156</v>
      </c>
      <c r="C23" s="169"/>
      <c r="D23" s="171" t="s">
        <v>157</v>
      </c>
      <c r="E23" s="171"/>
      <c r="F23" s="171"/>
      <c r="G23" s="171"/>
      <c r="H23" s="171"/>
      <c r="I23" s="171"/>
    </row>
    <row r="24" customFormat="false" ht="16.5" hidden="false" customHeight="true" outlineLevel="0" collapsed="false">
      <c r="B24" s="169" t="s">
        <v>158</v>
      </c>
      <c r="C24" s="169"/>
      <c r="D24" s="170" t="s">
        <v>159</v>
      </c>
      <c r="E24" s="170"/>
      <c r="F24" s="170"/>
      <c r="G24" s="170"/>
      <c r="H24" s="170"/>
      <c r="I24" s="170"/>
    </row>
    <row r="25" customFormat="false" ht="16.5" hidden="false" customHeight="true" outlineLevel="0" collapsed="false">
      <c r="B25" s="169" t="s">
        <v>160</v>
      </c>
      <c r="C25" s="169"/>
      <c r="D25" s="170" t="s">
        <v>161</v>
      </c>
      <c r="E25" s="170"/>
      <c r="F25" s="170"/>
      <c r="G25" s="170"/>
      <c r="H25" s="170"/>
      <c r="I25" s="170"/>
    </row>
    <row r="26" customFormat="false" ht="16.5" hidden="false" customHeight="true" outlineLevel="0" collapsed="false">
      <c r="B26" s="169" t="s">
        <v>124</v>
      </c>
      <c r="C26" s="169"/>
      <c r="D26" s="170" t="s">
        <v>130</v>
      </c>
      <c r="E26" s="170"/>
      <c r="F26" s="170"/>
      <c r="G26" s="170"/>
      <c r="H26" s="170"/>
      <c r="I26" s="170"/>
    </row>
    <row r="27" customFormat="false" ht="23.25" hidden="false" customHeight="true" outlineLevel="0" collapsed="false">
      <c r="B27" s="169" t="s">
        <v>162</v>
      </c>
      <c r="C27" s="169"/>
      <c r="D27" s="179" t="n">
        <f aca="false">SUM(I30:I32)</f>
        <v>6.95</v>
      </c>
      <c r="E27" s="179"/>
      <c r="F27" s="179"/>
      <c r="G27" s="179"/>
      <c r="H27" s="179"/>
      <c r="I27" s="179"/>
    </row>
    <row r="28" customFormat="false" ht="15.75" hidden="false" customHeight="true" outlineLevel="0" collapsed="false">
      <c r="B28" s="173"/>
      <c r="C28" s="173"/>
      <c r="D28" s="174"/>
      <c r="E28" s="174"/>
      <c r="F28" s="174"/>
      <c r="G28" s="174"/>
      <c r="H28" s="174"/>
      <c r="I28" s="174"/>
    </row>
    <row r="29" customFormat="false" ht="29.25" hidden="false" customHeight="true" outlineLevel="0" collapsed="false">
      <c r="B29" s="175"/>
      <c r="C29" s="175" t="s">
        <v>163</v>
      </c>
      <c r="D29" s="175" t="s">
        <v>123</v>
      </c>
      <c r="E29" s="175" t="s">
        <v>160</v>
      </c>
      <c r="F29" s="175" t="s">
        <v>124</v>
      </c>
      <c r="G29" s="175" t="s">
        <v>162</v>
      </c>
      <c r="H29" s="175" t="s">
        <v>164</v>
      </c>
      <c r="I29" s="175" t="s">
        <v>162</v>
      </c>
    </row>
    <row r="30" customFormat="false" ht="27.75" hidden="false" customHeight="true" outlineLevel="0" collapsed="false">
      <c r="B30" s="176" t="s">
        <v>165</v>
      </c>
      <c r="C30" s="176" t="s">
        <v>166</v>
      </c>
      <c r="D30" s="177" t="s">
        <v>167</v>
      </c>
      <c r="E30" s="177" t="s">
        <v>161</v>
      </c>
      <c r="F30" s="176" t="s">
        <v>168</v>
      </c>
      <c r="G30" s="178" t="n">
        <f aca="false">G14</f>
        <v>4.86</v>
      </c>
      <c r="H30" s="176" t="s">
        <v>169</v>
      </c>
      <c r="I30" s="178" t="n">
        <f aca="false">G30*H30</f>
        <v>4.86</v>
      </c>
    </row>
    <row r="31" customFormat="false" ht="27.75" hidden="false" customHeight="true" outlineLevel="0" collapsed="false">
      <c r="B31" s="176" t="s">
        <v>165</v>
      </c>
      <c r="C31" s="176" t="s">
        <v>170</v>
      </c>
      <c r="D31" s="177" t="s">
        <v>171</v>
      </c>
      <c r="E31" s="177" t="s">
        <v>161</v>
      </c>
      <c r="F31" s="176" t="s">
        <v>168</v>
      </c>
      <c r="G31" s="178" t="n">
        <f aca="false">G15</f>
        <v>1.49</v>
      </c>
      <c r="H31" s="176" t="s">
        <v>169</v>
      </c>
      <c r="I31" s="178" t="n">
        <f aca="false">G31*H31</f>
        <v>1.49</v>
      </c>
    </row>
    <row r="32" customFormat="false" ht="42" hidden="false" customHeight="true" outlineLevel="0" collapsed="false">
      <c r="B32" s="176" t="s">
        <v>165</v>
      </c>
      <c r="C32" s="176" t="s">
        <v>172</v>
      </c>
      <c r="D32" s="177" t="s">
        <v>173</v>
      </c>
      <c r="E32" s="177" t="s">
        <v>161</v>
      </c>
      <c r="F32" s="176" t="s">
        <v>168</v>
      </c>
      <c r="G32" s="178" t="n">
        <f aca="false">G16</f>
        <v>0.6</v>
      </c>
      <c r="H32" s="176" t="s">
        <v>169</v>
      </c>
      <c r="I32" s="178" t="n">
        <f aca="false">G32*H32</f>
        <v>0.6</v>
      </c>
    </row>
  </sheetData>
  <mergeCells count="31">
    <mergeCell ref="B2:I2"/>
    <mergeCell ref="B4:I4"/>
    <mergeCell ref="B5:C5"/>
    <mergeCell ref="D5:I5"/>
    <mergeCell ref="B6:C6"/>
    <mergeCell ref="D6:I6"/>
    <mergeCell ref="B7:C7"/>
    <mergeCell ref="D7:I7"/>
    <mergeCell ref="B8:C8"/>
    <mergeCell ref="D8:I8"/>
    <mergeCell ref="B9:C9"/>
    <mergeCell ref="D9:I9"/>
    <mergeCell ref="B10:C10"/>
    <mergeCell ref="D10:I10"/>
    <mergeCell ref="B11:C11"/>
    <mergeCell ref="D11:I11"/>
    <mergeCell ref="B20:I20"/>
    <mergeCell ref="B21:C21"/>
    <mergeCell ref="D21:I21"/>
    <mergeCell ref="B22:C22"/>
    <mergeCell ref="D22:I22"/>
    <mergeCell ref="B23:C23"/>
    <mergeCell ref="D23:I23"/>
    <mergeCell ref="B24:C24"/>
    <mergeCell ref="D24:I24"/>
    <mergeCell ref="B25:C25"/>
    <mergeCell ref="D25:I25"/>
    <mergeCell ref="B26:C26"/>
    <mergeCell ref="D26:I26"/>
    <mergeCell ref="B27:C27"/>
    <mergeCell ref="D27:I27"/>
  </mergeCells>
  <printOptions headings="false" gridLines="false" gridLinesSet="true" horizontalCentered="true" verticalCentered="false"/>
  <pageMargins left="0.177083333333333" right="0.134027777777778" top="0.374305555555556" bottom="0.320138888888889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FFFFFF"/>
    <pageSetUpPr fitToPage="false"/>
  </sheetPr>
  <dimension ref="B1:I32"/>
  <sheetViews>
    <sheetView showFormulas="false" showGridLines="false" showRowColHeaders="true" showZeros="true" rightToLeft="false" tabSelected="false" showOutlineSymbols="true" defaultGridColor="true" view="normal" topLeftCell="A1" colorId="64" zoomScale="90" zoomScaleNormal="90" zoomScalePageLayoutView="100" workbookViewId="0">
      <selection pane="topLeft" activeCell="G18" activeCellId="0" sqref="G18"/>
    </sheetView>
  </sheetViews>
  <sheetFormatPr defaultColWidth="8.41015625" defaultRowHeight="14.25" zeroHeight="false" outlineLevelRow="0" outlineLevelCol="0"/>
  <cols>
    <col collapsed="false" customWidth="true" hidden="false" outlineLevel="0" max="1" min="1" style="1" width="5.62"/>
    <col collapsed="false" customWidth="true" hidden="false" outlineLevel="0" max="2" min="2" style="1" width="3"/>
    <col collapsed="false" customWidth="true" hidden="false" outlineLevel="0" max="3" min="3" style="1" width="12.25"/>
    <col collapsed="false" customWidth="true" hidden="false" outlineLevel="0" max="4" min="4" style="1" width="60"/>
    <col collapsed="false" customWidth="true" hidden="false" outlineLevel="0" max="5" min="5" style="1" width="30"/>
    <col collapsed="false" customWidth="true" hidden="false" outlineLevel="0" max="6" min="6" style="1" width="10"/>
    <col collapsed="false" customWidth="true" hidden="false" outlineLevel="0" max="7" min="7" style="1" width="13.76"/>
    <col collapsed="false" customWidth="true" hidden="false" outlineLevel="0" max="8" min="8" style="1" width="12"/>
    <col collapsed="false" customWidth="true" hidden="false" outlineLevel="0" max="9" min="9" style="1" width="14"/>
    <col collapsed="false" customWidth="true" hidden="false" outlineLevel="0" max="1026" min="10" style="1" width="8.62"/>
  </cols>
  <sheetData>
    <row r="1" customFormat="false" ht="15" hidden="false" customHeight="true" outlineLevel="0" collapsed="false"/>
    <row r="2" customFormat="false" ht="24.75" hidden="false" customHeight="true" outlineLevel="0" collapsed="false">
      <c r="B2" s="167" t="s">
        <v>181</v>
      </c>
      <c r="C2" s="167"/>
      <c r="D2" s="167"/>
      <c r="E2" s="167"/>
      <c r="F2" s="167"/>
      <c r="G2" s="167"/>
      <c r="H2" s="167"/>
      <c r="I2" s="167"/>
    </row>
    <row r="3" customFormat="false" ht="21" hidden="false" customHeight="true" outlineLevel="0" collapsed="false"/>
    <row r="4" customFormat="false" ht="16.5" hidden="false" customHeight="true" outlineLevel="0" collapsed="false">
      <c r="B4" s="168" t="s">
        <v>152</v>
      </c>
      <c r="C4" s="168"/>
      <c r="D4" s="168"/>
      <c r="E4" s="168"/>
      <c r="F4" s="168"/>
      <c r="G4" s="168"/>
      <c r="H4" s="168"/>
      <c r="I4" s="168"/>
    </row>
    <row r="5" customFormat="false" ht="16.5" hidden="false" customHeight="true" outlineLevel="0" collapsed="false">
      <c r="B5" s="169" t="s">
        <v>153</v>
      </c>
      <c r="C5" s="169"/>
      <c r="D5" s="170" t="s">
        <v>154</v>
      </c>
      <c r="E5" s="170"/>
      <c r="F5" s="170"/>
      <c r="G5" s="170"/>
      <c r="H5" s="170"/>
      <c r="I5" s="170"/>
    </row>
    <row r="6" customFormat="false" ht="16.5" hidden="false" customHeight="true" outlineLevel="0" collapsed="false">
      <c r="B6" s="169" t="s">
        <v>123</v>
      </c>
      <c r="C6" s="169"/>
      <c r="D6" s="170" t="s">
        <v>155</v>
      </c>
      <c r="E6" s="170"/>
      <c r="F6" s="170"/>
      <c r="G6" s="170"/>
      <c r="H6" s="170"/>
      <c r="I6" s="170"/>
    </row>
    <row r="7" customFormat="false" ht="16.5" hidden="false" customHeight="true" outlineLevel="0" collapsed="false">
      <c r="B7" s="169" t="s">
        <v>156</v>
      </c>
      <c r="C7" s="169"/>
      <c r="D7" s="171" t="s">
        <v>157</v>
      </c>
      <c r="E7" s="171"/>
      <c r="F7" s="171"/>
      <c r="G7" s="171"/>
      <c r="H7" s="171"/>
      <c r="I7" s="171"/>
    </row>
    <row r="8" customFormat="false" ht="16.5" hidden="false" customHeight="true" outlineLevel="0" collapsed="false">
      <c r="B8" s="169" t="s">
        <v>158</v>
      </c>
      <c r="C8" s="169"/>
      <c r="D8" s="170" t="s">
        <v>182</v>
      </c>
      <c r="E8" s="170"/>
      <c r="F8" s="170"/>
      <c r="G8" s="170"/>
      <c r="H8" s="170"/>
      <c r="I8" s="170"/>
    </row>
    <row r="9" customFormat="false" ht="16.5" hidden="false" customHeight="true" outlineLevel="0" collapsed="false">
      <c r="B9" s="169" t="s">
        <v>160</v>
      </c>
      <c r="C9" s="169"/>
      <c r="D9" s="170" t="s">
        <v>161</v>
      </c>
      <c r="E9" s="170"/>
      <c r="F9" s="170"/>
      <c r="G9" s="170"/>
      <c r="H9" s="170"/>
      <c r="I9" s="170"/>
    </row>
    <row r="10" customFormat="false" ht="16.5" hidden="false" customHeight="true" outlineLevel="0" collapsed="false">
      <c r="B10" s="169" t="s">
        <v>124</v>
      </c>
      <c r="C10" s="169"/>
      <c r="D10" s="170" t="s">
        <v>128</v>
      </c>
      <c r="E10" s="170"/>
      <c r="F10" s="170"/>
      <c r="G10" s="170"/>
      <c r="H10" s="170"/>
      <c r="I10" s="170"/>
    </row>
    <row r="11" customFormat="false" ht="23.25" hidden="false" customHeight="true" outlineLevel="0" collapsed="false">
      <c r="B11" s="169" t="s">
        <v>162</v>
      </c>
      <c r="C11" s="169"/>
      <c r="D11" s="172" t="n">
        <f aca="false">SUM(I14:I18)</f>
        <v>52.69</v>
      </c>
      <c r="E11" s="172"/>
      <c r="F11" s="172"/>
      <c r="G11" s="172"/>
      <c r="H11" s="172"/>
      <c r="I11" s="172"/>
    </row>
    <row r="12" customFormat="false" ht="15.75" hidden="false" customHeight="true" outlineLevel="0" collapsed="false">
      <c r="B12" s="173"/>
      <c r="C12" s="173"/>
      <c r="D12" s="174"/>
      <c r="E12" s="174"/>
      <c r="F12" s="174"/>
      <c r="G12" s="174"/>
      <c r="H12" s="174"/>
      <c r="I12" s="174"/>
    </row>
    <row r="13" customFormat="false" ht="29.25" hidden="false" customHeight="true" outlineLevel="0" collapsed="false">
      <c r="B13" s="175"/>
      <c r="C13" s="175" t="s">
        <v>163</v>
      </c>
      <c r="D13" s="175" t="s">
        <v>123</v>
      </c>
      <c r="E13" s="175" t="s">
        <v>160</v>
      </c>
      <c r="F13" s="175" t="s">
        <v>124</v>
      </c>
      <c r="G13" s="175" t="s">
        <v>162</v>
      </c>
      <c r="H13" s="175" t="s">
        <v>164</v>
      </c>
      <c r="I13" s="175" t="s">
        <v>162</v>
      </c>
    </row>
    <row r="14" customFormat="false" ht="27.75" hidden="false" customHeight="true" outlineLevel="0" collapsed="false">
      <c r="B14" s="176" t="s">
        <v>165</v>
      </c>
      <c r="C14" s="176" t="s">
        <v>166</v>
      </c>
      <c r="D14" s="177" t="s">
        <v>167</v>
      </c>
      <c r="E14" s="177" t="s">
        <v>161</v>
      </c>
      <c r="F14" s="176" t="s">
        <v>168</v>
      </c>
      <c r="G14" s="178" t="n">
        <v>4.86</v>
      </c>
      <c r="H14" s="176" t="s">
        <v>169</v>
      </c>
      <c r="I14" s="178" t="n">
        <f aca="false">G14*H14</f>
        <v>4.86</v>
      </c>
    </row>
    <row r="15" customFormat="false" ht="27.75" hidden="false" customHeight="true" outlineLevel="0" collapsed="false">
      <c r="B15" s="176" t="s">
        <v>165</v>
      </c>
      <c r="C15" s="176" t="s">
        <v>170</v>
      </c>
      <c r="D15" s="177" t="s">
        <v>171</v>
      </c>
      <c r="E15" s="177" t="s">
        <v>161</v>
      </c>
      <c r="F15" s="176" t="s">
        <v>168</v>
      </c>
      <c r="G15" s="178" t="n">
        <v>1.49</v>
      </c>
      <c r="H15" s="176" t="s">
        <v>169</v>
      </c>
      <c r="I15" s="178" t="n">
        <f aca="false">G15*H15</f>
        <v>1.49</v>
      </c>
    </row>
    <row r="16" customFormat="false" ht="42" hidden="false" customHeight="true" outlineLevel="0" collapsed="false">
      <c r="B16" s="176" t="s">
        <v>165</v>
      </c>
      <c r="C16" s="176" t="s">
        <v>172</v>
      </c>
      <c r="D16" s="177" t="s">
        <v>173</v>
      </c>
      <c r="E16" s="177" t="s">
        <v>161</v>
      </c>
      <c r="F16" s="176" t="s">
        <v>168</v>
      </c>
      <c r="G16" s="178" t="n">
        <v>0.6</v>
      </c>
      <c r="H16" s="176" t="s">
        <v>169</v>
      </c>
      <c r="I16" s="178" t="n">
        <f aca="false">G16*H16</f>
        <v>0.6</v>
      </c>
    </row>
    <row r="17" customFormat="false" ht="27.75" hidden="false" customHeight="true" outlineLevel="0" collapsed="false">
      <c r="B17" s="176" t="s">
        <v>165</v>
      </c>
      <c r="C17" s="176" t="s">
        <v>174</v>
      </c>
      <c r="D17" s="177" t="s">
        <v>175</v>
      </c>
      <c r="E17" s="177" t="s">
        <v>161</v>
      </c>
      <c r="F17" s="176" t="s">
        <v>168</v>
      </c>
      <c r="G17" s="178" t="n">
        <v>6.07</v>
      </c>
      <c r="H17" s="176" t="s">
        <v>169</v>
      </c>
      <c r="I17" s="178" t="n">
        <f aca="false">G17*H17</f>
        <v>6.07</v>
      </c>
    </row>
    <row r="18" customFormat="false" ht="42" hidden="false" customHeight="true" outlineLevel="0" collapsed="false">
      <c r="B18" s="176" t="s">
        <v>165</v>
      </c>
      <c r="C18" s="176" t="s">
        <v>176</v>
      </c>
      <c r="D18" s="177" t="s">
        <v>177</v>
      </c>
      <c r="E18" s="177" t="s">
        <v>161</v>
      </c>
      <c r="F18" s="176" t="s">
        <v>168</v>
      </c>
      <c r="G18" s="178" t="n">
        <v>39.67</v>
      </c>
      <c r="H18" s="176" t="s">
        <v>169</v>
      </c>
      <c r="I18" s="178" t="n">
        <f aca="false">G18*H18</f>
        <v>39.67</v>
      </c>
    </row>
    <row r="19" customFormat="false" ht="27.75" hidden="false" customHeight="true" outlineLevel="0" collapsed="false"/>
    <row r="20" customFormat="false" ht="16.5" hidden="false" customHeight="true" outlineLevel="0" collapsed="false">
      <c r="B20" s="167" t="s">
        <v>178</v>
      </c>
      <c r="C20" s="167"/>
      <c r="D20" s="167"/>
      <c r="E20" s="167"/>
      <c r="F20" s="167"/>
      <c r="G20" s="167"/>
      <c r="H20" s="167"/>
      <c r="I20" s="167"/>
    </row>
    <row r="21" customFormat="false" ht="16.5" hidden="false" customHeight="true" outlineLevel="0" collapsed="false">
      <c r="B21" s="169" t="s">
        <v>153</v>
      </c>
      <c r="C21" s="169"/>
      <c r="D21" s="170" t="s">
        <v>179</v>
      </c>
      <c r="E21" s="170"/>
      <c r="F21" s="170"/>
      <c r="G21" s="170"/>
      <c r="H21" s="170"/>
      <c r="I21" s="170"/>
    </row>
    <row r="22" customFormat="false" ht="16.5" hidden="false" customHeight="true" outlineLevel="0" collapsed="false">
      <c r="B22" s="169" t="s">
        <v>123</v>
      </c>
      <c r="C22" s="169"/>
      <c r="D22" s="170" t="s">
        <v>180</v>
      </c>
      <c r="E22" s="170"/>
      <c r="F22" s="170"/>
      <c r="G22" s="170"/>
      <c r="H22" s="170"/>
      <c r="I22" s="170"/>
    </row>
    <row r="23" customFormat="false" ht="16.5" hidden="false" customHeight="true" outlineLevel="0" collapsed="false">
      <c r="B23" s="169" t="s">
        <v>156</v>
      </c>
      <c r="C23" s="169"/>
      <c r="D23" s="171" t="s">
        <v>157</v>
      </c>
      <c r="E23" s="171"/>
      <c r="F23" s="171"/>
      <c r="G23" s="171"/>
      <c r="H23" s="171"/>
      <c r="I23" s="171"/>
    </row>
    <row r="24" customFormat="false" ht="16.5" hidden="false" customHeight="true" outlineLevel="0" collapsed="false">
      <c r="B24" s="169" t="s">
        <v>158</v>
      </c>
      <c r="C24" s="169"/>
      <c r="D24" s="170" t="s">
        <v>182</v>
      </c>
      <c r="E24" s="170"/>
      <c r="F24" s="170"/>
      <c r="G24" s="170"/>
      <c r="H24" s="170"/>
      <c r="I24" s="170"/>
    </row>
    <row r="25" customFormat="false" ht="16.5" hidden="false" customHeight="true" outlineLevel="0" collapsed="false">
      <c r="B25" s="169" t="s">
        <v>160</v>
      </c>
      <c r="C25" s="169"/>
      <c r="D25" s="170" t="s">
        <v>161</v>
      </c>
      <c r="E25" s="170"/>
      <c r="F25" s="170"/>
      <c r="G25" s="170"/>
      <c r="H25" s="170"/>
      <c r="I25" s="170"/>
    </row>
    <row r="26" customFormat="false" ht="16.5" hidden="false" customHeight="true" outlineLevel="0" collapsed="false">
      <c r="B26" s="169" t="s">
        <v>124</v>
      </c>
      <c r="C26" s="169"/>
      <c r="D26" s="170" t="s">
        <v>130</v>
      </c>
      <c r="E26" s="170"/>
      <c r="F26" s="170"/>
      <c r="G26" s="170"/>
      <c r="H26" s="170"/>
      <c r="I26" s="170"/>
    </row>
    <row r="27" customFormat="false" ht="23.25" hidden="false" customHeight="true" outlineLevel="0" collapsed="false">
      <c r="B27" s="169" t="s">
        <v>162</v>
      </c>
      <c r="C27" s="169"/>
      <c r="D27" s="179" t="n">
        <f aca="false">SUM(I30:I32)</f>
        <v>6.95</v>
      </c>
      <c r="E27" s="179"/>
      <c r="F27" s="179"/>
      <c r="G27" s="179"/>
      <c r="H27" s="179"/>
      <c r="I27" s="179"/>
    </row>
    <row r="28" customFormat="false" ht="15.75" hidden="false" customHeight="true" outlineLevel="0" collapsed="false">
      <c r="B28" s="173"/>
      <c r="C28" s="173"/>
      <c r="D28" s="174"/>
      <c r="E28" s="174"/>
      <c r="F28" s="174"/>
      <c r="G28" s="174"/>
      <c r="H28" s="174"/>
      <c r="I28" s="174"/>
    </row>
    <row r="29" customFormat="false" ht="29.25" hidden="false" customHeight="true" outlineLevel="0" collapsed="false">
      <c r="B29" s="175"/>
      <c r="C29" s="175" t="s">
        <v>163</v>
      </c>
      <c r="D29" s="175" t="s">
        <v>123</v>
      </c>
      <c r="E29" s="175" t="s">
        <v>160</v>
      </c>
      <c r="F29" s="175" t="s">
        <v>124</v>
      </c>
      <c r="G29" s="175" t="s">
        <v>162</v>
      </c>
      <c r="H29" s="175" t="s">
        <v>164</v>
      </c>
      <c r="I29" s="175" t="s">
        <v>162</v>
      </c>
    </row>
    <row r="30" customFormat="false" ht="27.75" hidden="false" customHeight="true" outlineLevel="0" collapsed="false">
      <c r="B30" s="176" t="s">
        <v>165</v>
      </c>
      <c r="C30" s="176" t="s">
        <v>166</v>
      </c>
      <c r="D30" s="177" t="s">
        <v>167</v>
      </c>
      <c r="E30" s="177" t="s">
        <v>161</v>
      </c>
      <c r="F30" s="176" t="s">
        <v>168</v>
      </c>
      <c r="G30" s="178" t="n">
        <f aca="false">G14</f>
        <v>4.86</v>
      </c>
      <c r="H30" s="176" t="s">
        <v>169</v>
      </c>
      <c r="I30" s="178" t="n">
        <f aca="false">G30*H30</f>
        <v>4.86</v>
      </c>
    </row>
    <row r="31" customFormat="false" ht="27.75" hidden="false" customHeight="true" outlineLevel="0" collapsed="false">
      <c r="B31" s="176" t="s">
        <v>165</v>
      </c>
      <c r="C31" s="176" t="s">
        <v>170</v>
      </c>
      <c r="D31" s="177" t="s">
        <v>171</v>
      </c>
      <c r="E31" s="177" t="s">
        <v>161</v>
      </c>
      <c r="F31" s="176" t="s">
        <v>168</v>
      </c>
      <c r="G31" s="178" t="n">
        <f aca="false">G15</f>
        <v>1.49</v>
      </c>
      <c r="H31" s="176" t="s">
        <v>169</v>
      </c>
      <c r="I31" s="178" t="n">
        <f aca="false">G31*H31</f>
        <v>1.49</v>
      </c>
    </row>
    <row r="32" customFormat="false" ht="42" hidden="false" customHeight="true" outlineLevel="0" collapsed="false">
      <c r="B32" s="176" t="s">
        <v>165</v>
      </c>
      <c r="C32" s="176" t="s">
        <v>172</v>
      </c>
      <c r="D32" s="177" t="s">
        <v>173</v>
      </c>
      <c r="E32" s="177" t="s">
        <v>161</v>
      </c>
      <c r="F32" s="176" t="s">
        <v>168</v>
      </c>
      <c r="G32" s="178" t="n">
        <f aca="false">G16</f>
        <v>0.6</v>
      </c>
      <c r="H32" s="176" t="s">
        <v>169</v>
      </c>
      <c r="I32" s="178" t="n">
        <f aca="false">G32*H32</f>
        <v>0.6</v>
      </c>
    </row>
  </sheetData>
  <mergeCells count="31">
    <mergeCell ref="B2:I2"/>
    <mergeCell ref="B4:I4"/>
    <mergeCell ref="B5:C5"/>
    <mergeCell ref="D5:I5"/>
    <mergeCell ref="B6:C6"/>
    <mergeCell ref="D6:I6"/>
    <mergeCell ref="B7:C7"/>
    <mergeCell ref="D7:I7"/>
    <mergeCell ref="B8:C8"/>
    <mergeCell ref="D8:I8"/>
    <mergeCell ref="B9:C9"/>
    <mergeCell ref="D9:I9"/>
    <mergeCell ref="B10:C10"/>
    <mergeCell ref="D10:I10"/>
    <mergeCell ref="B11:C11"/>
    <mergeCell ref="D11:I11"/>
    <mergeCell ref="B20:I20"/>
    <mergeCell ref="B21:C21"/>
    <mergeCell ref="D21:I21"/>
    <mergeCell ref="B22:C22"/>
    <mergeCell ref="D22:I22"/>
    <mergeCell ref="B23:C23"/>
    <mergeCell ref="D23:I23"/>
    <mergeCell ref="B24:C24"/>
    <mergeCell ref="D24:I24"/>
    <mergeCell ref="B25:C25"/>
    <mergeCell ref="D25:I25"/>
    <mergeCell ref="B26:C26"/>
    <mergeCell ref="D26:I26"/>
    <mergeCell ref="B27:C27"/>
    <mergeCell ref="D27:I27"/>
  </mergeCells>
  <printOptions headings="false" gridLines="false" gridLinesSet="true" horizontalCentered="true" verticalCentered="false"/>
  <pageMargins left="0.177083333333333" right="0.134027777777778" top="0.374305555555556" bottom="0.320138888888889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customXml/_rels/item1.xml.rels><?xml version="1.0" encoding="UTF-8"?>
<Relationships xmlns="http://schemas.openxmlformats.org/package/2006/relationships"><Relationship Id="rId1" Type="http://schemas.openxmlformats.org/officeDocument/2006/relationships/customXmlProps" Target="itemProps1.xml"/>
</Relationships>
</file>

<file path=customXml/_rels/item2.xml.rels><?xml version="1.0" encoding="UTF-8"?>
<Relationships xmlns="http://schemas.openxmlformats.org/package/2006/relationships"><Relationship Id="rId1" Type="http://schemas.openxmlformats.org/officeDocument/2006/relationships/customXmlProps" Target="itemProps2.xml"/>
</Relationships>
</file>

<file path=customXml/_rels/item3.xml.rels><?xml version="1.0" encoding="UTF-8"?>
<Relationships xmlns="http://schemas.openxmlformats.org/package/2006/relationships"><Relationship Id="rId1" Type="http://schemas.openxmlformats.org/officeDocument/2006/relationships/customXmlProps" Target="itemProps3.xml"/>
</Relationships>
</file>

<file path=customXml/_rels/item4.xml.rels><?xml version="1.0" encoding="UTF-8"?>
<Relationships xmlns="http://schemas.openxmlformats.org/package/2006/relationships"><Relationship Id="rId1" Type="http://schemas.openxmlformats.org/officeDocument/2006/relationships/customXmlProps" Target="itemProps4.xml"/>
</Relationships>
</file>

<file path=customXml/_rels/item5.xml.rels><?xml version="1.0" encoding="UTF-8"?>
<Relationships xmlns="http://schemas.openxmlformats.org/package/2006/relationships"><Relationship Id="rId1" Type="http://schemas.openxmlformats.org/officeDocument/2006/relationships/customXmlProps" Target="itemProps5.xml"/>
</Relationships>
</file>

<file path=customXml/_rels/item6.xml.rels><?xml version="1.0" encoding="UTF-8"?>
<Relationships xmlns="http://schemas.openxmlformats.org/package/2006/relationships"><Relationship Id="rId1" Type="http://schemas.openxmlformats.org/officeDocument/2006/relationships/customXmlProps" Target="itemProps6.xml"/>
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_rels/item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8.xml"/></Relationships>
</file>

<file path=customXml/_rels/item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9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706c7f7c-e32b-4162-b9b5-46b4313c91a4" xsi:nil="true"/>
    <lcf76f155ced4ddcb4097134ff3c332f xmlns="132d983b-bc52-4905-b3a2-4655d790e7be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371AF4B6DB407844954F4A0779E09E62" ma:contentTypeVersion="14" ma:contentTypeDescription="Crie um novo documento." ma:contentTypeScope="" ma:versionID="140884992dbb5d518fc055238ea1fb20">
  <xsd:schema xmlns:xsd="http://www.w3.org/2001/XMLSchema" xmlns:xs="http://www.w3.org/2001/XMLSchema" xmlns:p="http://schemas.microsoft.com/office/2006/metadata/properties" xmlns:ns2="132d983b-bc52-4905-b3a2-4655d790e7be" xmlns:ns3="706c7f7c-e32b-4162-b9b5-46b4313c91a4" targetNamespace="http://schemas.microsoft.com/office/2006/metadata/properties" ma:root="true" ma:fieldsID="1689ffa8dbc87ff061da798b6e9d0ca1" ns2:_="" ns3:_="">
    <xsd:import namespace="132d983b-bc52-4905-b3a2-4655d790e7be"/>
    <xsd:import namespace="706c7f7c-e32b-4162-b9b5-46b4313c91a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32d983b-bc52-4905-b3a2-4655d790e7b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3" nillable="true" ma:taxonomy="true" ma:internalName="lcf76f155ced4ddcb4097134ff3c332f" ma:taxonomyFieldName="MediaServiceImageTags" ma:displayName="Marcações de imagem" ma:readOnly="false" ma:fieldId="{5cf76f15-5ced-4ddc-b409-7134ff3c332f}" ma:taxonomyMulti="true" ma:sspId="7d2b257a-edbe-488f-835c-3573813fd51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06c7f7c-e32b-4162-b9b5-46b4313c91a4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cf18eca9-47da-4d69-a3d5-17174d6bff42}" ma:internalName="TaxCatchAll" ma:showField="CatchAllData" ma:web="706c7f7c-e32b-4162-b9b5-46b4313c91a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371AF4B6DB407844954F4A0779E09E62" ma:contentTypeVersion="14" ma:contentTypeDescription="Crie um novo documento." ma:contentTypeScope="" ma:versionID="140884992dbb5d518fc055238ea1fb20">
  <xsd:schema xmlns:xsd="http://www.w3.org/2001/XMLSchema" xmlns:xs="http://www.w3.org/2001/XMLSchema" xmlns:p="http://schemas.microsoft.com/office/2006/metadata/properties" xmlns:ns2="132d983b-bc52-4905-b3a2-4655d790e7be" xmlns:ns3="706c7f7c-e32b-4162-b9b5-46b4313c91a4" targetNamespace="http://schemas.microsoft.com/office/2006/metadata/properties" ma:root="true" ma:fieldsID="1689ffa8dbc87ff061da798b6e9d0ca1" ns2:_="" ns3:_="">
    <xsd:import namespace="132d983b-bc52-4905-b3a2-4655d790e7be"/>
    <xsd:import namespace="706c7f7c-e32b-4162-b9b5-46b4313c91a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32d983b-bc52-4905-b3a2-4655d790e7b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3" nillable="true" ma:taxonomy="true" ma:internalName="lcf76f155ced4ddcb4097134ff3c332f" ma:taxonomyFieldName="MediaServiceImageTags" ma:displayName="Marcações de imagem" ma:readOnly="false" ma:fieldId="{5cf76f15-5ced-4ddc-b409-7134ff3c332f}" ma:taxonomyMulti="true" ma:sspId="7d2b257a-edbe-488f-835c-3573813fd51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06c7f7c-e32b-4162-b9b5-46b4313c91a4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cf18eca9-47da-4d69-a3d5-17174d6bff42}" ma:internalName="TaxCatchAll" ma:showField="CatchAllData" ma:web="706c7f7c-e32b-4162-b9b5-46b4313c91a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5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6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706c7f7c-e32b-4162-b9b5-46b4313c91a4" xsi:nil="true"/>
    <lcf76f155ced4ddcb4097134ff3c332f xmlns="132d983b-bc52-4905-b3a2-4655d790e7be">
      <Terms xmlns="http://schemas.microsoft.com/office/infopath/2007/PartnerControls"/>
    </lcf76f155ced4ddcb4097134ff3c332f>
  </documentManagement>
</p:properties>
</file>

<file path=customXml/item7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371AF4B6DB407844954F4A0779E09E62" ma:contentTypeVersion="15" ma:contentTypeDescription="Crie um novo documento." ma:contentTypeScope="" ma:versionID="b860c048ab8ab88d68df708b8fe4e77e">
  <xsd:schema xmlns:xsd="http://www.w3.org/2001/XMLSchema" xmlns:xs="http://www.w3.org/2001/XMLSchema" xmlns:p="http://schemas.microsoft.com/office/2006/metadata/properties" xmlns:ns2="132d983b-bc52-4905-b3a2-4655d790e7be" xmlns:ns3="706c7f7c-e32b-4162-b9b5-46b4313c91a4" targetNamespace="http://schemas.microsoft.com/office/2006/metadata/properties" ma:root="true" ma:fieldsID="958e0ea840b2a59d61f2390a6dfde9d4" ns2:_="" ns3:_="">
    <xsd:import namespace="132d983b-bc52-4905-b3a2-4655d790e7be"/>
    <xsd:import namespace="706c7f7c-e32b-4162-b9b5-46b4313c91a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32d983b-bc52-4905-b3a2-4655d790e7b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3" nillable="true" ma:taxonomy="true" ma:internalName="lcf76f155ced4ddcb4097134ff3c332f" ma:taxonomyFieldName="MediaServiceImageTags" ma:displayName="Marcações de imagem" ma:readOnly="false" ma:fieldId="{5cf76f15-5ced-4ddc-b409-7134ff3c332f}" ma:taxonomyMulti="true" ma:sspId="7d2b257a-edbe-488f-835c-3573813fd51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06c7f7c-e32b-4162-b9b5-46b4313c91a4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cf18eca9-47da-4d69-a3d5-17174d6bff42}" ma:internalName="TaxCatchAll" ma:showField="CatchAllData" ma:web="706c7f7c-e32b-4162-b9b5-46b4313c91a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8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9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706c7f7c-e32b-4162-b9b5-46b4313c91a4" xsi:nil="true"/>
    <lcf76f155ced4ddcb4097134ff3c332f xmlns="132d983b-bc52-4905-b3a2-4655d790e7b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19EE1BE7-826B-4621-9ED3-4701CE39B331}">
  <ds:schemaRefs>
    <ds:schemaRef ds:uri="http://schemas.microsoft.com/office/2006/documentManagement/types"/>
    <ds:schemaRef ds:uri="http://purl.org/dc/dcmitype/"/>
    <ds:schemaRef ds:uri="http://schemas.microsoft.com/office/infopath/2007/PartnerControls"/>
    <ds:schemaRef ds:uri="http://purl.org/dc/terms/"/>
    <ds:schemaRef ds:uri="http://schemas.microsoft.com/office/2006/metadata/properties"/>
    <ds:schemaRef ds:uri="http://purl.org/dc/elements/1.1/"/>
    <ds:schemaRef ds:uri="http://schemas.openxmlformats.org/package/2006/metadata/core-properties"/>
    <ds:schemaRef ds:uri="706c7f7c-e32b-4162-b9b5-46b4313c91a4"/>
    <ds:schemaRef ds:uri="132d983b-bc52-4905-b3a2-4655d790e7be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6F3A8E04-5F1C-4EE6-81D6-803C5BC182C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D973B60-6787-4793-AE7C-9C2D09820632}"/>
</file>

<file path=customXml/itemProps4.xml><?xml version="1.0" encoding="utf-8"?>
<ds:datastoreItem xmlns:ds="http://schemas.openxmlformats.org/officeDocument/2006/customXml" ds:itemID="{183402EA-E97B-4649-8F37-2B78C87DFB6F}"/>
</file>

<file path=customXml/itemProps5.xml><?xml version="1.0" encoding="utf-8"?>
<ds:datastoreItem xmlns:ds="http://schemas.openxmlformats.org/officeDocument/2006/customXml" ds:itemID="{EDDA4CFF-F272-4D86-86CE-711D33730E02}"/>
</file>

<file path=customXml/itemProps6.xml><?xml version="1.0" encoding="utf-8"?>
<ds:datastoreItem xmlns:ds="http://schemas.openxmlformats.org/officeDocument/2006/customXml" ds:itemID="{2F22788D-B20C-44A7-AD68-9FDA2587CDAD}"/>
</file>

<file path=customXml/itemProps7.xml><?xml version="1.0" encoding="utf-8"?>
<ds:datastoreItem xmlns:ds="http://schemas.openxmlformats.org/officeDocument/2006/customXml" ds:itemID="{2BF090AE-0661-4B7F-A609-2A281079DC6F}"/>
</file>

<file path=customXml/itemProps8.xml><?xml version="1.0" encoding="utf-8"?>
<ds:datastoreItem xmlns:ds="http://schemas.openxmlformats.org/officeDocument/2006/customXml" ds:itemID="{328A16B7-BDE4-4803-97D8-9D5BF31FE249}"/>
</file>

<file path=customXml/itemProps9.xml><?xml version="1.0" encoding="utf-8"?>
<ds:datastoreItem xmlns:ds="http://schemas.openxmlformats.org/officeDocument/2006/customXml" ds:itemID="{397E49AD-7199-40D7-B984-D33A3684704A}"/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205</TotalTime>
  <Application>LibreOffice/7.6.0.3$Windows_X86_64 LibreOffice_project/69edd8b8ebc41d00b4de3915dc82f8f0fc3b6265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Ana Carolina Alves Miranda</dc:creator>
  <dc:description/>
  <cp:lastModifiedBy/>
  <cp:revision>44</cp:revision>
  <dcterms:created xsi:type="dcterms:W3CDTF">2022-02-01T12:05:24Z</dcterms:created>
  <dcterms:modified xsi:type="dcterms:W3CDTF">2023-12-07T09:55:38Z</dcterms:modified>
  <dc:language>pt-BR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0x010100371AF4B6DB407844954F4A0779E09E62</vt:lpwstr>
  </property>
  <property fmtid="{D5CDD505-2E9C-101B-9397-08002B2CF9AE}" pid="3" name="HyperlinksChanged">
    <vt:bool>false</vt:bool>
  </property>
  <property fmtid="{D5CDD505-2E9C-101B-9397-08002B2CF9AE}" pid="4" name="LinksUpToDate">
    <vt:bool>false</vt:bool>
  </property>
  <property fmtid="{D5CDD505-2E9C-101B-9397-08002B2CF9AE}" pid="5" name="MediaServiceImageTags">
    <vt:lpwstr/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